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<sst xmlns="http://schemas.openxmlformats.org/spreadsheetml/2006/main" count="1355" uniqueCount="390">
  <si>
    <t>Отчет об использовании денежных средств</t>
  </si>
  <si>
    <t>поступивших от жителей многоквартирного дома по адресу</t>
  </si>
  <si>
    <t>ул.3й пр. Щетинщиков,дом 5.</t>
  </si>
  <si>
    <t>за  2011 год</t>
  </si>
  <si>
    <t>Общая площадь дома</t>
  </si>
  <si>
    <r>
      <t>Тарифы:</t>
    </r>
    <r>
      <rPr>
        <sz val="11"/>
        <rFont val="Arial"/>
        <family val="2"/>
      </rPr>
      <t xml:space="preserve">содержание           </t>
    </r>
  </si>
  <si>
    <t xml:space="preserve">                текущий ремонт     </t>
  </si>
  <si>
    <t>Задолженность жильцов на 01.01.2011г.</t>
  </si>
  <si>
    <t>Начисленно квартплаты за 2011г.</t>
  </si>
  <si>
    <t>Поступило денежных средств от жильцов</t>
  </si>
  <si>
    <t>Задолженность жильцов:</t>
  </si>
  <si>
    <t>содержание и ремонт на 31.12.2011г.</t>
  </si>
  <si>
    <t>Оплата услуг ресурсоснабжающих и обслуживающих организаций - всего</t>
  </si>
  <si>
    <t>4.1.</t>
  </si>
  <si>
    <t xml:space="preserve">  в том числе:       Диспетчерское обслуживание,обслуживание  внутридомовых инженерных сетей,ликвидация аварий на  сетях и оборудовании.</t>
  </si>
  <si>
    <t>4.3.</t>
  </si>
  <si>
    <t xml:space="preserve">                   Профилактическая дератизация</t>
  </si>
  <si>
    <t xml:space="preserve">                  Освещение мест общего пользования</t>
  </si>
  <si>
    <t>4.4.</t>
  </si>
  <si>
    <t xml:space="preserve">                  Расходы по управлению ЖКХ"Служба заказчика"</t>
  </si>
  <si>
    <t xml:space="preserve">                   Текущий ремонт общего имущества:</t>
  </si>
  <si>
    <r>
      <t xml:space="preserve">февраль:  </t>
    </r>
    <r>
      <rPr>
        <sz val="9"/>
        <rFont val="Arial"/>
        <family val="2"/>
      </rPr>
      <t>Чистка печных и дымовых труб.</t>
    </r>
  </si>
  <si>
    <t>Остаток денежных средств  за 2011г</t>
  </si>
  <si>
    <t>ул. 3й пр.Щетинщиков, дом 7.</t>
  </si>
  <si>
    <r>
      <t>Тарифы:</t>
    </r>
    <r>
      <rPr>
        <sz val="10"/>
        <rFont val="Arial"/>
        <family val="2"/>
      </rPr>
      <t xml:space="preserve">содержание           </t>
    </r>
  </si>
  <si>
    <t>Начисленно квартплаты  за 2011год.:</t>
  </si>
  <si>
    <t xml:space="preserve">   в том числе                содержание и текущий ремонт</t>
  </si>
  <si>
    <t xml:space="preserve">                                           водоотведение</t>
  </si>
  <si>
    <t>Поступило денежных средств от жильцов,руб</t>
  </si>
  <si>
    <t>2.1.</t>
  </si>
  <si>
    <t xml:space="preserve">                в том числе:                    содерж.и текущий ремонт</t>
  </si>
  <si>
    <t>2.2.</t>
  </si>
  <si>
    <t xml:space="preserve">                                          Ресурсоснабжающие организации - всего</t>
  </si>
  <si>
    <t>5.1.</t>
  </si>
  <si>
    <t xml:space="preserve">  в том числе:                     МУП"Водоканал"</t>
  </si>
  <si>
    <t>5.2.</t>
  </si>
  <si>
    <t xml:space="preserve">                                          Обслуживающие организации - всего</t>
  </si>
  <si>
    <t>6.</t>
  </si>
  <si>
    <t>7.</t>
  </si>
  <si>
    <t xml:space="preserve">                     Профилактическая дератизация</t>
  </si>
  <si>
    <t>9.</t>
  </si>
  <si>
    <t xml:space="preserve">                    Освещение мест общего пользования</t>
  </si>
  <si>
    <t>10.</t>
  </si>
  <si>
    <t>11.</t>
  </si>
  <si>
    <t xml:space="preserve">                    Расходы по управлению ЖКХ"Служба заказчика"</t>
  </si>
  <si>
    <t>12.</t>
  </si>
  <si>
    <t xml:space="preserve">                   Текущий ремонт общего имущества:   всего</t>
  </si>
  <si>
    <t xml:space="preserve">   втом числе:</t>
  </si>
  <si>
    <r>
      <t>февраль:</t>
    </r>
    <r>
      <rPr>
        <sz val="9"/>
        <rFont val="Arial"/>
        <family val="2"/>
      </rPr>
      <t xml:space="preserve"> Чистка дымовых и печных труб.</t>
    </r>
  </si>
  <si>
    <r>
      <t>июль:</t>
    </r>
    <r>
      <rPr>
        <sz val="9"/>
        <rFont val="Arial"/>
        <family val="2"/>
      </rPr>
      <t xml:space="preserve"> Окашивание травы на придомовой территории.</t>
    </r>
  </si>
  <si>
    <t>Остаток денежных средств ( с учетом задолженности) на 01.01.2012г.       (стр.2 - стр.5)</t>
  </si>
  <si>
    <t>Сумма задолженности за жилищно-коммун.услуги на 31.12. 2011г - всего</t>
  </si>
  <si>
    <t xml:space="preserve">   в том числе :         содержание и текущий ремонт общ.имущества                   </t>
  </si>
  <si>
    <t xml:space="preserve">                                     водоотведение</t>
  </si>
  <si>
    <t>ул.4й пр. Щетинщиков, дом 1.</t>
  </si>
  <si>
    <t xml:space="preserve">                  Вывоз ТБО  (17чел *0,1м3 * 230руб *12мес.)</t>
  </si>
  <si>
    <r>
      <t>март:</t>
    </r>
    <r>
      <rPr>
        <sz val="9"/>
        <rFont val="Arial"/>
        <family val="2"/>
      </rPr>
      <t xml:space="preserve"> Очистка кровли от снежного свеса с дворовой территории.</t>
    </r>
  </si>
  <si>
    <r>
      <t>июль:</t>
    </r>
    <r>
      <rPr>
        <sz val="9"/>
        <rFont val="Arial"/>
        <family val="2"/>
      </rPr>
      <t xml:space="preserve"> Окашивание травы на придомовой территории.Ремонт лест.марша в подъезде(смена ступени.укрепл.ступеней гвозд.,ограждений и балясин в подъезд)</t>
    </r>
  </si>
  <si>
    <r>
      <t xml:space="preserve">Остаток денежных средств  за 2011г </t>
    </r>
    <r>
      <rPr>
        <sz val="12"/>
        <rFont val="Arial"/>
        <family val="2"/>
      </rPr>
      <t>(стр.2 - стр.4.)</t>
    </r>
  </si>
  <si>
    <t>ул. 4й пр.Щетинщиков, дом 2.</t>
  </si>
  <si>
    <t xml:space="preserve">                                                             водоснабжение</t>
  </si>
  <si>
    <t xml:space="preserve">                    Вывоз ТБО  (20чел *0,1м3 * 230руб *12мес.)</t>
  </si>
  <si>
    <r>
      <t>февраль,март:</t>
    </r>
    <r>
      <rPr>
        <sz val="9"/>
        <rFont val="Arial"/>
        <family val="2"/>
      </rPr>
      <t xml:space="preserve"> Очистка крыши козырьков и кровли от снега и снежных свесов с дворовой территории.Очистка пожарной лестницы от наледи.Ремонт шиф.кровли отд.местами с автовышки.Смена стекла  из-за упавшего шифера.</t>
    </r>
  </si>
  <si>
    <r>
      <t xml:space="preserve">апрель: </t>
    </r>
    <r>
      <rPr>
        <sz val="9"/>
        <rFont val="Arial"/>
        <family val="2"/>
      </rPr>
      <t>Уборка двор. террит.от снега при помощи  МТЗ-82.сч.ф№.81 ИП Пашинский М.В.</t>
    </r>
  </si>
  <si>
    <r>
      <t>июль:</t>
    </r>
    <r>
      <rPr>
        <sz val="9"/>
        <rFont val="Arial"/>
        <family val="2"/>
      </rPr>
      <t>Окашив. травы на придом. территории.Обслед.лестничного марша во 2м подъезде.</t>
    </r>
  </si>
  <si>
    <r>
      <t>ноябрь:</t>
    </r>
    <r>
      <rPr>
        <sz val="9"/>
        <rFont val="Arial"/>
        <family val="2"/>
      </rPr>
      <t xml:space="preserve"> Рем. верх.крышки п/ямы со сменой отд.досок по предписанию "Роспотребнадзора"</t>
    </r>
  </si>
  <si>
    <t>ул.Высотная, дом 5</t>
  </si>
  <si>
    <t>4.2.</t>
  </si>
  <si>
    <t xml:space="preserve">                           Освещение мест общего пользования  617кВт</t>
  </si>
  <si>
    <t xml:space="preserve">                          Профилактическая дератизация</t>
  </si>
  <si>
    <t xml:space="preserve">                         Вывоз ТБО  (20чел *0,1м3 * 230руб *12мес.)</t>
  </si>
  <si>
    <t xml:space="preserve">                         Расходы по управлению ЖКХ"Служба заказчика"</t>
  </si>
  <si>
    <t xml:space="preserve">                         Текущий ремонт общего имущества:</t>
  </si>
  <si>
    <r>
      <t xml:space="preserve">февраль: </t>
    </r>
    <r>
      <rPr>
        <sz val="9"/>
        <rFont val="Arial"/>
        <family val="2"/>
      </rPr>
      <t>Ремонт отопит.печи кв.12.Чистка дымовых и печных труб(1664,42руб)</t>
    </r>
  </si>
  <si>
    <r>
      <t>октябрь:</t>
    </r>
    <r>
      <rPr>
        <sz val="9"/>
        <rFont val="Arial"/>
        <family val="2"/>
      </rPr>
      <t xml:space="preserve"> Эл.монтажные работы по ремонту эл.проводки с заменой ввода.сч.ф.№436 ООО"РСО-ОКС"</t>
    </r>
  </si>
  <si>
    <t>Остаток денежных средств на 01.01.2011г</t>
  </si>
  <si>
    <t>Всего на 01.01.2012г.</t>
  </si>
  <si>
    <t>ул.Высотная, дом 14</t>
  </si>
  <si>
    <t xml:space="preserve">                           Освещение мест общего пользования  </t>
  </si>
  <si>
    <t xml:space="preserve">                         Вывоз ТБО  (31чел *0,1м3 * 230руб *12мес.)</t>
  </si>
  <si>
    <t xml:space="preserve">                       Содержание дворовой территории:</t>
  </si>
  <si>
    <r>
      <t>май:</t>
    </r>
    <r>
      <rPr>
        <sz val="9"/>
        <rFont val="Arial"/>
        <family val="2"/>
      </rPr>
      <t xml:space="preserve"> Погрузка вручную и вывозка мусора дворового на машине Камаз.сч.ф.№711"АВС"</t>
    </r>
  </si>
  <si>
    <t>Работа экскаватора ТО-49(погрузка мусора)-595 р.,услуги автомобиля Камаз-890 р.,услуги автомобиля Газ-700 р.,услуги по приемке и размещению мусора-6м3-171,60 руб.сч.ф.№709"АВС"</t>
  </si>
  <si>
    <r>
      <t>февраль:</t>
    </r>
    <r>
      <rPr>
        <sz val="9"/>
        <rFont val="Arial"/>
        <family val="2"/>
      </rPr>
      <t xml:space="preserve"> Очистка снежного свеса над эл.вводом с крыши дома.</t>
    </r>
  </si>
  <si>
    <r>
      <t xml:space="preserve">май: </t>
    </r>
    <r>
      <rPr>
        <sz val="9"/>
        <rFont val="Arial"/>
        <family val="2"/>
      </rPr>
      <t xml:space="preserve"> Чистка печных и дымовых труб.</t>
    </r>
  </si>
  <si>
    <r>
      <t>Остаток денежных средств  за 2011г</t>
    </r>
    <r>
      <rPr>
        <sz val="10"/>
        <rFont val="Arial"/>
        <family val="2"/>
      </rPr>
      <t xml:space="preserve">  (стр.2 - стр.4)</t>
    </r>
  </si>
  <si>
    <t>ул.Гледенская, дом 24</t>
  </si>
  <si>
    <r>
      <t xml:space="preserve">                         Содержание двор.территории:</t>
    </r>
    <r>
      <rPr>
        <sz val="10"/>
        <rFont val="Arial"/>
        <family val="2"/>
      </rPr>
      <t>Убор.двор.террит.от снега трактором.</t>
    </r>
  </si>
  <si>
    <t xml:space="preserve">                         Вывоз ТБО  (32чел *0,1м3 * 230руб *12мес.)</t>
  </si>
  <si>
    <r>
      <t xml:space="preserve">май:  </t>
    </r>
    <r>
      <rPr>
        <sz val="9"/>
        <rFont val="Arial"/>
        <family val="2"/>
      </rPr>
      <t>Обследование в/ямы,крыши пристроя.Ремонт шиф.кровли отд.местами,укрепление коньковых элементов.Смена верх.крышки в/ямы.</t>
    </r>
  </si>
  <si>
    <r>
      <t xml:space="preserve">октябрь:  </t>
    </r>
    <r>
      <rPr>
        <sz val="9"/>
        <rFont val="Arial"/>
        <family val="2"/>
      </rPr>
      <t>Ремонт верхней крышки п/ямы.Ремонт метал.мусорного контейнера.</t>
    </r>
  </si>
  <si>
    <t xml:space="preserve">     поступивших от жителей многоквартирного дома по адресу</t>
  </si>
  <si>
    <t>ул.Гледенская, дом 81.</t>
  </si>
  <si>
    <t>1.1.</t>
  </si>
  <si>
    <t xml:space="preserve">   в том числе:                содержание и текущий ремонт</t>
  </si>
  <si>
    <t>1.2.</t>
  </si>
  <si>
    <t xml:space="preserve">                                          водоснабжение и водоотведение</t>
  </si>
  <si>
    <t xml:space="preserve">  в том числе:                             содерж.и текущий ремонт</t>
  </si>
  <si>
    <t xml:space="preserve">                                                    водоснабжение и водоотведение</t>
  </si>
  <si>
    <t xml:space="preserve">  в том числе:                МУП"Водоканал"</t>
  </si>
  <si>
    <t>8.</t>
  </si>
  <si>
    <t xml:space="preserve">                    Содержание дворовой территории</t>
  </si>
  <si>
    <t xml:space="preserve">                    Вывоз ТБО  (36чел *0,1м3 * 230руб *12мес.)</t>
  </si>
  <si>
    <t>14.</t>
  </si>
  <si>
    <t>15.</t>
  </si>
  <si>
    <t xml:space="preserve">    Остаток денежных средств ( с учетом задолженности) на 01.01.2012г.       ( стр.2 - стр.5)</t>
  </si>
  <si>
    <t xml:space="preserve">    Остаток денежных средств ( с учетом задолженности) на  01.01.2011г.содержание и текущий ремонт      </t>
  </si>
  <si>
    <t xml:space="preserve">                                     водоснабжение и водоотведение</t>
  </si>
  <si>
    <t>Разница между показаниями общедомового прибора учета воды и суммой показаний</t>
  </si>
  <si>
    <t>приборов учета воды всех квартир и норм.потребления где приборы учета не установлены за 2011г</t>
  </si>
  <si>
    <t xml:space="preserve">           МУП "Водоканал" - предъявлено по цене( 20,80руб+38,07руб ) за        1836м3</t>
  </si>
  <si>
    <t xml:space="preserve">           Начисленно за водоснабжение и водоотведение жильцам за 2011г      1771м3</t>
  </si>
  <si>
    <t xml:space="preserve">           итого:                                        1836м3 - 1771м3 =  65м3</t>
  </si>
  <si>
    <t>ул.Железнодорожная, дом 1.</t>
  </si>
  <si>
    <t xml:space="preserve">                                            водоснабжение и водоотведение</t>
  </si>
  <si>
    <t xml:space="preserve">                                            Отопление,подогрев воды</t>
  </si>
  <si>
    <t xml:space="preserve">                                            Вывоз ТБО</t>
  </si>
  <si>
    <t xml:space="preserve">                                            Электроснабжение</t>
  </si>
  <si>
    <t xml:space="preserve">                                            Найм помещений</t>
  </si>
  <si>
    <t xml:space="preserve">                                                             водоснабжение и водоотведение</t>
  </si>
  <si>
    <t>2.3.</t>
  </si>
  <si>
    <t xml:space="preserve">                                                             отопление,подогрев воды</t>
  </si>
  <si>
    <t xml:space="preserve">                                                             Вывоз ТБО</t>
  </si>
  <si>
    <t xml:space="preserve">                                                             Электроснабжение</t>
  </si>
  <si>
    <t xml:space="preserve">                                                             Найм помещений</t>
  </si>
  <si>
    <t xml:space="preserve">                                           ООО "Электротеплосеть" - отопление,подогрев воды.</t>
  </si>
  <si>
    <t>5.3.</t>
  </si>
  <si>
    <t xml:space="preserve">                                            Вологод.сбытовая компания</t>
  </si>
  <si>
    <t>5.4.</t>
  </si>
  <si>
    <t xml:space="preserve">                                            ООО " РСО-ОКС" - вывоз ТБО</t>
  </si>
  <si>
    <t>5.5.</t>
  </si>
  <si>
    <t xml:space="preserve">                    Вывоз ТБО  (222чел *0,1м3 * 230руб *4мес.)</t>
  </si>
  <si>
    <r>
      <t xml:space="preserve">                    ООО "Техносервис":</t>
    </r>
    <r>
      <rPr>
        <sz val="10"/>
        <rFont val="Arial"/>
        <family val="2"/>
      </rPr>
      <t xml:space="preserve"> Ревизия,регулировка и проверка теплосчетчика СПТ941и СПТ941К двухпоточный.Снятие и установка приборов с выездом на объект. Оформление паспорта на теплосчетчик .</t>
    </r>
  </si>
  <si>
    <t xml:space="preserve">                      Зарплата домкому с 01.2011г 5750руб в месяц.( 5750руб) +налоги 26,2% на зарплату 1506,50руб.</t>
  </si>
  <si>
    <t>13.</t>
  </si>
  <si>
    <t>Остаток денежных средств ( с учетом задолженности) на 01.01.2012г.             ( стр.2 - стр.5)</t>
  </si>
  <si>
    <t xml:space="preserve">Остаток денежных средств ( с учетом задолженности) на 01.01.2011г.      </t>
  </si>
  <si>
    <t xml:space="preserve">                                     Отопление,подогрев воды</t>
  </si>
  <si>
    <t xml:space="preserve">                                     Вывоз ТБО</t>
  </si>
  <si>
    <t xml:space="preserve">                                     Электроснабжение</t>
  </si>
  <si>
    <t xml:space="preserve">                                     Найм помещений</t>
  </si>
  <si>
    <t>Разница между показаниями общедомового прибора учета холод.воды и суммой показаний</t>
  </si>
  <si>
    <t>приборов учета холод.воды всех квартир и норм.потребления где приборы учета не установлены за 2011г.</t>
  </si>
  <si>
    <t xml:space="preserve">           МУП "Водоканал" - предъявлено по цене( 20,80руб+38,07руб ) за        7520м3</t>
  </si>
  <si>
    <t xml:space="preserve">           Начисленно за водоснабжение и водоотведение жильцам за 2011г      7160,04м3</t>
  </si>
  <si>
    <t xml:space="preserve">           итого:                                        7520м3 - 7160,04м3 =  359,96м3</t>
  </si>
  <si>
    <t xml:space="preserve">Разница между показаниями общедомового прибора учета горячей воды и теплосчетчика </t>
  </si>
  <si>
    <t>и суммой показаний приборов учета гор.воды всех квартир и норм потребления где приборы</t>
  </si>
  <si>
    <t>не установлены за 2011г.</t>
  </si>
  <si>
    <t xml:space="preserve"> 902,3 Гкал на отопление</t>
  </si>
  <si>
    <t>207,7  Гкал на горячую воду.</t>
  </si>
  <si>
    <t xml:space="preserve"> по цене 1432,52руб за 1Гкал. Оплачено ООО "Электротеплосеть"</t>
  </si>
  <si>
    <t xml:space="preserve">Начислено за отопление и горяч.воду </t>
  </si>
  <si>
    <t xml:space="preserve">           итого:</t>
  </si>
  <si>
    <t>ул. Кирова, дом 54.</t>
  </si>
  <si>
    <r>
      <t xml:space="preserve">Тарифы:                      </t>
    </r>
    <r>
      <rPr>
        <sz val="9"/>
        <rFont val="Arial"/>
        <family val="2"/>
      </rPr>
      <t xml:space="preserve">содержание </t>
    </r>
  </si>
  <si>
    <t xml:space="preserve">                                       текущий ремонт </t>
  </si>
  <si>
    <t>Сумма задолженности за жилищно-коммун.услуги жильцов                      на 01.11. 2011г - всего</t>
  </si>
  <si>
    <t xml:space="preserve">   в том числе:              содержание и текущий ремонт</t>
  </si>
  <si>
    <t xml:space="preserve">  в том числе:                содерж.и текущий ремонт</t>
  </si>
  <si>
    <t xml:space="preserve">                                           водоснабжение и водоотведение</t>
  </si>
  <si>
    <t xml:space="preserve">        Профилактическая дератизация</t>
  </si>
  <si>
    <t xml:space="preserve">        Освещение мест общего пользования</t>
  </si>
  <si>
    <t xml:space="preserve">        Вывоз ТБО  (148чел *0,1м3 * 230руб *12мес.)</t>
  </si>
  <si>
    <t xml:space="preserve">        Содержание дворовй территории </t>
  </si>
  <si>
    <r>
      <t xml:space="preserve">           ООО"Вега": </t>
    </r>
    <r>
      <rPr>
        <sz val="9"/>
        <rFont val="Arial"/>
        <family val="2"/>
      </rPr>
      <t>смена доводчика №3 (морозостойкий) подъезд 2.</t>
    </r>
  </si>
  <si>
    <t xml:space="preserve">         Расходы по управлению ЖКХ"Служба заказчика"</t>
  </si>
  <si>
    <t xml:space="preserve">        Текущий ремонт общего имущества:   всего</t>
  </si>
  <si>
    <t xml:space="preserve">Остаток денежных средств ( за минусом задолженности) на 01.01.2012г.             ( стр.2 - стр.5) </t>
  </si>
  <si>
    <t xml:space="preserve">Остаток денежных средств ( за минусом задолженности) на 01.01.2011г.      </t>
  </si>
  <si>
    <t>Сумма задолженности за жилищно-коммун.услуги жильцов                                на 31.12. 2011г - всего</t>
  </si>
  <si>
    <t>приборов учета воды всех квартир и норм.потребления где приборы учета не установлены за 2011г.</t>
  </si>
  <si>
    <t xml:space="preserve">           МУП "Водоканал" - предъявлено по цене( 20,80руб+38,07руб ) за        5286м3</t>
  </si>
  <si>
    <t xml:space="preserve">           Начисленно за водоснабжение и водоотведение жильцам за 2011г      4611,46м3</t>
  </si>
  <si>
    <t xml:space="preserve">           итого:                                        5286м3 - 4611,46м3 =  674,54м3</t>
  </si>
  <si>
    <t>ул.Кирова, дом  73.</t>
  </si>
  <si>
    <t xml:space="preserve">                         Освещение мест общего пользования</t>
  </si>
  <si>
    <t xml:space="preserve">         По предписанию администрации куча мусора с обочин у дороги. ООО"АВС"</t>
  </si>
  <si>
    <t>4.5.</t>
  </si>
  <si>
    <t xml:space="preserve">                         Вывоз ТБО  (11чел *0,1м3 * 230руб *12мес.)</t>
  </si>
  <si>
    <t>4.6.</t>
  </si>
  <si>
    <t>4.7.</t>
  </si>
  <si>
    <t xml:space="preserve">                         Текущий ремонт общего имущества - всего:</t>
  </si>
  <si>
    <r>
      <t>Остаток денежных средств (</t>
    </r>
    <r>
      <rPr>
        <sz val="12"/>
        <rFont val="Arial"/>
        <family val="2"/>
      </rPr>
      <t>за минусом задолженности)</t>
    </r>
    <r>
      <rPr>
        <b/>
        <sz val="14"/>
        <rFont val="Arial"/>
        <family val="2"/>
      </rPr>
      <t xml:space="preserve">  за 2011г</t>
    </r>
  </si>
  <si>
    <t>ул. Кирова, дом 83.</t>
  </si>
  <si>
    <t xml:space="preserve">      Освещение мест общего пользования</t>
  </si>
  <si>
    <t xml:space="preserve">        Вывоз ТБО  (19чел *0,1м3 * 230руб *12мес.)</t>
  </si>
  <si>
    <r>
      <t xml:space="preserve">          МУП "Водоканал": </t>
    </r>
    <r>
      <rPr>
        <sz val="9"/>
        <rFont val="Arial"/>
        <family val="2"/>
      </rPr>
      <t>Выход специалиста по принятию водомерного узла.</t>
    </r>
  </si>
  <si>
    <r>
      <t xml:space="preserve">июль: </t>
    </r>
    <r>
      <rPr>
        <sz val="9"/>
        <rFont val="Arial"/>
        <family val="2"/>
      </rPr>
      <t>Обследование дверных полотен д./врезки замков,обследование кровли.</t>
    </r>
  </si>
  <si>
    <r>
      <t>октябрь:</t>
    </r>
    <r>
      <rPr>
        <sz val="9"/>
        <rFont val="Arial"/>
        <family val="2"/>
      </rPr>
      <t xml:space="preserve"> Ремонт крышки отдельными местами с автовышки (1час * 2086,50)</t>
    </r>
  </si>
  <si>
    <t xml:space="preserve">           МУП "Водоканал" - предъявлено по цене( 20,80руб+38,07руб ) за        1192м3</t>
  </si>
  <si>
    <t xml:space="preserve">           Начисленно за водоснабжение и водоотведение жильцам за 2011г      548м3</t>
  </si>
  <si>
    <t xml:space="preserve">           итого:                                        1192м3 - 548м3 =  644м3</t>
  </si>
  <si>
    <t>ул.Кирова, дом 94.</t>
  </si>
  <si>
    <t xml:space="preserve">Общая площадь дома </t>
  </si>
  <si>
    <t xml:space="preserve">                   Освещение мест общего пользования  </t>
  </si>
  <si>
    <t xml:space="preserve">                   Вывоз ТБО  (17чел *0,1м3 * 230руб *12мес.)</t>
  </si>
  <si>
    <r>
      <t xml:space="preserve">Остаток денежных средств   за  2011г   </t>
    </r>
    <r>
      <rPr>
        <sz val="14"/>
        <rFont val="Arial"/>
        <family val="2"/>
      </rPr>
      <t>( стр.2 - стр.4 )</t>
    </r>
  </si>
  <si>
    <t>Всего ( за минусом задолженности) на 01.01.2012г.</t>
  </si>
  <si>
    <t>ул.Кирова, дом 98.</t>
  </si>
  <si>
    <t xml:space="preserve">                   Вывоз ТБО  (12чел *0,1м3 * 230руб *12мес.)</t>
  </si>
  <si>
    <t>ул.Коммунальная, дом 6а.</t>
  </si>
  <si>
    <t>за  2011г</t>
  </si>
  <si>
    <t>1.</t>
  </si>
  <si>
    <t xml:space="preserve">   в том числе:             содержание и текущий ремонт</t>
  </si>
  <si>
    <t>2.</t>
  </si>
  <si>
    <t xml:space="preserve">  в том числе:         содерж.и текущий ремонт</t>
  </si>
  <si>
    <t>3.1.</t>
  </si>
  <si>
    <t>3.2.</t>
  </si>
  <si>
    <t>3.3.</t>
  </si>
  <si>
    <t>5.</t>
  </si>
  <si>
    <t>Аварийно-диспетчерское обслуживание,ликвидация аварий внутридомовых сетей и оборудования</t>
  </si>
  <si>
    <t>Профилактическая дератизация</t>
  </si>
  <si>
    <t>Содержание дворовой территории</t>
  </si>
  <si>
    <t>Освещение мест общего пользования</t>
  </si>
  <si>
    <t>Вывоз ТБО  (48чел *0,1м3 * 230руб *12мес.)</t>
  </si>
  <si>
    <t>Расходы по управлению ЖКХ"Служба заказчика"</t>
  </si>
  <si>
    <t>Текущий ремонт общего имущества:  всего</t>
  </si>
  <si>
    <t xml:space="preserve">Остаток денежных средств ( с учетом задолженности) на 01.01.2012г.              ( стр.2 - стр.3) </t>
  </si>
  <si>
    <t xml:space="preserve">           МУП "Водоканал" - предъявлено по цене( 20,80руб+38,07руб ) за        2520м3</t>
  </si>
  <si>
    <t xml:space="preserve">           Начисленно за водоснабжение и водоотведение жильцам за 2011г      2401,7м3</t>
  </si>
  <si>
    <t xml:space="preserve">           итого:                                        2520м3 - 2401,7м3 =  118,3м3</t>
  </si>
  <si>
    <t>ул. Кооперативная, дом  15</t>
  </si>
  <si>
    <t xml:space="preserve">                           Освещение мест общего пользования  1599кВт</t>
  </si>
  <si>
    <r>
      <t xml:space="preserve">                                  Содержание дворовой территории:</t>
    </r>
    <r>
      <rPr>
        <sz val="9"/>
        <rFont val="Arial"/>
        <family val="2"/>
      </rPr>
      <t xml:space="preserve">  Уборка мусора с обочины дороги (весенняя уборка по предписанию администрации)Работа эксковатора(1350руб) и а/машины "КАМАЗ" (1125руб)</t>
    </r>
  </si>
  <si>
    <t xml:space="preserve">                         Вывоз ТБО  (16чел *0,1м3 * 230руб *12мес.)</t>
  </si>
  <si>
    <t xml:space="preserve">                         Текущий ремонт общего имущества:  -  всего</t>
  </si>
  <si>
    <r>
      <t>Остаток денежных средств</t>
    </r>
    <r>
      <rPr>
        <sz val="11"/>
        <rFont val="Arial"/>
        <family val="2"/>
      </rPr>
      <t>(за минусом задолженности)</t>
    </r>
    <r>
      <rPr>
        <b/>
        <sz val="14"/>
        <rFont val="Arial"/>
        <family val="2"/>
      </rPr>
      <t xml:space="preserve">  за 2011г</t>
    </r>
  </si>
  <si>
    <t>ул. Кооперативная, дом  17</t>
  </si>
  <si>
    <t xml:space="preserve">                         Вывоз ТБО  (21чел *0,1м3 * 230руб *12мес.)</t>
  </si>
  <si>
    <t>ул.Кооперативная, дом 20.</t>
  </si>
  <si>
    <t xml:space="preserve">  в том числе:          содерж.и текущий ремонт</t>
  </si>
  <si>
    <t>Вывоз ТБО  (87чел *0,1м3 * 230руб *12мес.)</t>
  </si>
  <si>
    <r>
      <t xml:space="preserve">ООО "Вега":   </t>
    </r>
    <r>
      <rPr>
        <sz val="9"/>
        <rFont val="Arial"/>
        <family val="2"/>
      </rPr>
      <t>Работы по регулировке доводчика п.4.</t>
    </r>
  </si>
  <si>
    <t xml:space="preserve">Остаток денежных средств ( с учетом задолженности) на 01.01.2012г.                ( стр.2 - стр.3) </t>
  </si>
  <si>
    <t xml:space="preserve">           МУП "Водоканал" - предъявлено по цене( 20,80руб+38,07руб ) за        4654м3</t>
  </si>
  <si>
    <t xml:space="preserve">           Начисленно за водоснабжение и водоотведение жильцам за 2011г      3284,04м3</t>
  </si>
  <si>
    <t xml:space="preserve">           итого:                                        4654м3 - 3284,04м3 = 1369,96м3</t>
  </si>
  <si>
    <t>ул.Кузнецова, дом 15а.</t>
  </si>
  <si>
    <t xml:space="preserve">                    Вывоз ТБО  (115чел *0,1м3 * 230руб *12мес.)</t>
  </si>
  <si>
    <r>
      <t xml:space="preserve">                         ООО"Вега": </t>
    </r>
    <r>
      <rPr>
        <sz val="9"/>
        <rFont val="Arial"/>
        <family val="2"/>
      </rPr>
      <t>Работа по ремонту домофона  подъезд 1.</t>
    </r>
  </si>
  <si>
    <r>
      <t xml:space="preserve">                         ООО "СЭМ+":  </t>
    </r>
    <r>
      <rPr>
        <sz val="9"/>
        <rFont val="Arial"/>
        <family val="2"/>
      </rPr>
      <t>Электромонтаж.ремонтные работы по заявке</t>
    </r>
  </si>
  <si>
    <t>Остаток денежных средств (за минусом задолженности) на 01.01.2012г.       (стр.2-стр.5)</t>
  </si>
  <si>
    <t xml:space="preserve">Остаток денежных средств (за минусом задолженности) на 01.01.2011г.      </t>
  </si>
  <si>
    <t>Долг по доп.платежу на 31.12.2011г.на ремонт двор.тротуара.кв.28(3556,8руб)кв.37(3549,6руб)</t>
  </si>
  <si>
    <t>Долг по кап.рем. системы водоснабж.2007г на 31.12.11г.кв.28(2309,80руб),кв.37(901,98руб)</t>
  </si>
  <si>
    <t xml:space="preserve">           МУП "Водоканал" - предъявлено по цене( 20,80руб+38,07руб ) за        5210м3</t>
  </si>
  <si>
    <t xml:space="preserve">           Начисленно за водоснабжение и водоотведение жильцам за 2011г      4015,4м3</t>
  </si>
  <si>
    <t xml:space="preserve">           итого:                                        5210м3 - 4015,4м3 = 1194,6м3</t>
  </si>
  <si>
    <t>ул.Набережная, дом 26В.</t>
  </si>
  <si>
    <t xml:space="preserve">                    Вывоз ТБО  (6чел *0,1м3 * 230руб *12мес.)</t>
  </si>
  <si>
    <t xml:space="preserve">           МУП "Водоканал" - предъявлено по цене( 20,80руб+38,07руб ) за       507 м3</t>
  </si>
  <si>
    <t xml:space="preserve">           Начисленно за водоснабжение и водоотведение жильцам за 2011г    438 м3</t>
  </si>
  <si>
    <t xml:space="preserve">           итого:                                        507м3 -  483м3 = 69м3</t>
  </si>
  <si>
    <t>ул.Неводчикова, дом 47.</t>
  </si>
  <si>
    <r>
      <t>ФБУЗ "Центр гигиены и эпидемиологии:</t>
    </r>
    <r>
      <rPr>
        <sz val="9"/>
        <rFont val="Arial"/>
        <family val="2"/>
      </rPr>
      <t xml:space="preserve">  Отбор проб воды для лабораторных иследований.Иследование на железо,на мутность.</t>
    </r>
  </si>
  <si>
    <t xml:space="preserve">                    Вывоз ТБО  (47чел *0,1м3 * 230руб *12мес.)</t>
  </si>
  <si>
    <r>
      <t xml:space="preserve">                          ООО "Вега" </t>
    </r>
    <r>
      <rPr>
        <sz val="9"/>
        <rFont val="Arial"/>
        <family val="2"/>
      </rPr>
      <t>Утс-ка доводчика №3 подъезд 2.</t>
    </r>
  </si>
  <si>
    <r>
      <t xml:space="preserve">февраль: </t>
    </r>
    <r>
      <rPr>
        <sz val="9"/>
        <rFont val="Arial"/>
        <family val="2"/>
      </rPr>
      <t xml:space="preserve"> Очистка от снега и наледи кровли при помощи автовышки.</t>
    </r>
  </si>
  <si>
    <r>
      <t>март:</t>
    </r>
    <r>
      <rPr>
        <sz val="9"/>
        <rFont val="Arial"/>
        <family val="2"/>
      </rPr>
      <t xml:space="preserve"> Устр-во огражд.для предупрежд.схода снега и наледи с крыши.</t>
    </r>
  </si>
  <si>
    <r>
      <t>август:</t>
    </r>
    <r>
      <rPr>
        <sz val="9"/>
        <rFont val="Arial"/>
        <family val="2"/>
      </rPr>
      <t xml:space="preserve"> Изготовление и уст-ка оконных блоков ПВХ 4шт. в 2х подъездах 1и 2этаж.сч.ф.№ Ц-974448 ООО"Стройрынок"</t>
    </r>
  </si>
  <si>
    <t xml:space="preserve">           МУП "Водоканал" - предъявлено по цене( 20,80руб+38,07руб ) за       2075 м3</t>
  </si>
  <si>
    <t xml:space="preserve">           Начисленно за водоснабжение и водоотведение жильцам за 2011г      2227,14м3</t>
  </si>
  <si>
    <t xml:space="preserve">           итого:                                        2075м3 - 2227,14м3 = -152,14м3</t>
  </si>
  <si>
    <t>ул.Неводчикова, дом 65.</t>
  </si>
  <si>
    <t xml:space="preserve">                Профилактическая дератизация</t>
  </si>
  <si>
    <t xml:space="preserve">              Содержание дворовой территории</t>
  </si>
  <si>
    <t xml:space="preserve">              Вывоз ТБО  (59чел *0,1м3 * 230руб *12мес.)</t>
  </si>
  <si>
    <t xml:space="preserve">             Освещение мест общего пользования</t>
  </si>
  <si>
    <r>
      <t xml:space="preserve">                  ООО "Вега:</t>
    </r>
    <r>
      <rPr>
        <sz val="9"/>
        <rFont val="Arial"/>
        <family val="2"/>
      </rPr>
      <t xml:space="preserve"> Уст-ка доводчика на входную дверь подъезд,3 и смена доводч.подъезд 2. </t>
    </r>
  </si>
  <si>
    <t xml:space="preserve">              Расходы по управлению ЖКХ"Служба заказчика"</t>
  </si>
  <si>
    <t xml:space="preserve">              Текущий ремонт общего имущества:   всего</t>
  </si>
  <si>
    <t>пер. Лесников, дом 6.</t>
  </si>
  <si>
    <t>3.</t>
  </si>
  <si>
    <t>4.</t>
  </si>
  <si>
    <t xml:space="preserve">Профилактическая дератизация  </t>
  </si>
  <si>
    <t>Вывоз ТБО  (14чел *0,1м3 * 230руб *12мес.)</t>
  </si>
  <si>
    <t>Текущий ремонт общего имущества:</t>
  </si>
  <si>
    <t xml:space="preserve">      в том числе:</t>
  </si>
  <si>
    <r>
      <t>июль:</t>
    </r>
    <r>
      <rPr>
        <sz val="9"/>
        <rFont val="Arial"/>
        <family val="2"/>
      </rPr>
      <t xml:space="preserve"> Обслед.и замер п/ямы.Ремонт помойной ямы.Смена крышки п/ямы(5,5м2) с заменой средней балки из баланса с изготовлением крышки люка.</t>
    </r>
  </si>
  <si>
    <r>
      <t>август:</t>
    </r>
    <r>
      <rPr>
        <sz val="9"/>
        <rFont val="Arial"/>
        <family val="2"/>
      </rPr>
      <t xml:space="preserve"> Смена деревян.тротуаров (28,6м2)сч.ф.№348 ООО"РСО-ОКС"</t>
    </r>
  </si>
  <si>
    <r>
      <t>ноябрь:</t>
    </r>
    <r>
      <rPr>
        <sz val="9"/>
        <rFont val="Arial"/>
        <family val="2"/>
      </rPr>
      <t xml:space="preserve"> Обследование печи перед ремонтом кв.2.Ремонт кухон.очага.</t>
    </r>
  </si>
  <si>
    <t>Остаток денежных средств  на 01.01.2011г</t>
  </si>
  <si>
    <t>Остаток денежных средств (стр.2 - стр.5) на  31.12. 2011г</t>
  </si>
  <si>
    <t xml:space="preserve">                                  Всего за минусом должников на 01.01.2012г</t>
  </si>
  <si>
    <t>ул.Лесников, дом 8</t>
  </si>
  <si>
    <t xml:space="preserve">                           Освещение мест общего пользования  291кВт</t>
  </si>
  <si>
    <t xml:space="preserve">                         Вывоз ТБО  (26чел *0,1м3 * 230руб *12мес.)</t>
  </si>
  <si>
    <t>пер.Шилова, дом 5</t>
  </si>
  <si>
    <t xml:space="preserve">                           Освещение мест общего пользования  209 кВт</t>
  </si>
  <si>
    <t xml:space="preserve">                         Вывоз ТБО  (18чел *0,1м3 * 230руб *12мес.)</t>
  </si>
  <si>
    <r>
      <t xml:space="preserve">                           ООО "АВС":</t>
    </r>
    <r>
      <rPr>
        <sz val="11"/>
        <rFont val="Arial"/>
        <family val="2"/>
      </rPr>
      <t xml:space="preserve">  Вывоз дворового мусора на тракторной телеге.</t>
    </r>
  </si>
  <si>
    <r>
      <t>Остаток денежных средств  за 2011г</t>
    </r>
    <r>
      <rPr>
        <sz val="14"/>
        <rFont val="Arial"/>
        <family val="2"/>
      </rPr>
      <t xml:space="preserve">  (стр.2 - стр.4)</t>
    </r>
  </si>
  <si>
    <t>пл.Коммуны, дом 6.</t>
  </si>
  <si>
    <t xml:space="preserve">                    Вывоз ТБО  (22чел *0,1м3 * 230руб *12мес.)</t>
  </si>
  <si>
    <r>
      <t xml:space="preserve">                         МУП "Водаканал":</t>
    </r>
    <r>
      <rPr>
        <sz val="9"/>
        <rFont val="Arial"/>
        <family val="2"/>
      </rPr>
      <t xml:space="preserve"> Работа а/м КАМАЗ (чистка канализации 2час * 1920руб)</t>
    </r>
  </si>
  <si>
    <r>
      <t>апрель:</t>
    </r>
    <r>
      <rPr>
        <sz val="9"/>
        <rFont val="Arial"/>
        <family val="2"/>
      </rPr>
      <t>Чистка бойлера.Замена 1й секции на бойлере.</t>
    </r>
  </si>
  <si>
    <r>
      <t xml:space="preserve">декабрь: </t>
    </r>
    <r>
      <rPr>
        <sz val="9"/>
        <rFont val="Arial"/>
        <family val="2"/>
      </rPr>
      <t>Уст-ка 2х металлич.дверей с доводчиком (морозостойкий до 80кг.)</t>
    </r>
  </si>
  <si>
    <t>Ст-ть материала: плитка тротуарная(11560руб.,цемент (5250руб).песок(2700руб).По закупочному акту.Договор подряда на вып.работы Езин С.Н.</t>
  </si>
  <si>
    <t xml:space="preserve">           МУП "Водоканал" - предъявлено по цене( 20,80руб+38,07руб ) за       1614,00 м3</t>
  </si>
  <si>
    <t xml:space="preserve">           Начисленно за водоснабжение и водоотведение жильцам за 2011г     1496,35м3</t>
  </si>
  <si>
    <t xml:space="preserve">           итого:                                        1614м3 - 1496,35м3 = 117,65м3</t>
  </si>
  <si>
    <t>ул..Ф.Попова, дом 8.</t>
  </si>
  <si>
    <t xml:space="preserve">                                           водоснабжение</t>
  </si>
  <si>
    <t>Вывоз ТБО  (53чел *0,1м3 * 230руб *12мес.)</t>
  </si>
  <si>
    <r>
      <t xml:space="preserve">В.Устюгское МО  ВДПО:  </t>
    </r>
    <r>
      <rPr>
        <sz val="9"/>
        <rFont val="Arial"/>
        <family val="2"/>
      </rPr>
      <t xml:space="preserve">проверка дымовых и вентиляц.каналов (всего 13 квартир) </t>
    </r>
  </si>
  <si>
    <t xml:space="preserve">                                                        в том числе:</t>
  </si>
  <si>
    <r>
      <t>май:</t>
    </r>
    <r>
      <rPr>
        <sz val="9"/>
        <rFont val="Arial"/>
        <family val="2"/>
      </rPr>
      <t xml:space="preserve"> Ремонт козырька над входом 1го подъезда дома.</t>
    </r>
  </si>
  <si>
    <r>
      <t>декабрь:</t>
    </r>
    <r>
      <rPr>
        <sz val="9"/>
        <rFont val="Arial"/>
        <family val="2"/>
      </rPr>
      <t>Состав.сметной документации на капит. рем.кровли.ООО"Проект-реставр."сч.ф.№52</t>
    </r>
  </si>
  <si>
    <t>Для покраски батареи отопления в подъезде выдали краску.</t>
  </si>
  <si>
    <t xml:space="preserve">Остаток денежных средств (за минусом задолженности) на 01.01.2012г.                ( стр.2 - стр.3) </t>
  </si>
  <si>
    <t>ул.Советский пр. , дом 18.</t>
  </si>
  <si>
    <t>10.1.</t>
  </si>
  <si>
    <t>10.2.</t>
  </si>
  <si>
    <t>10.3.</t>
  </si>
  <si>
    <t>10.4.</t>
  </si>
  <si>
    <t xml:space="preserve">                    Вывоз ТБО  (23чел *0,1м3 * 230руб *12мес.)</t>
  </si>
  <si>
    <t>10.5.</t>
  </si>
  <si>
    <t>10.6.</t>
  </si>
  <si>
    <t xml:space="preserve">           МУП "Водоканал" - предъявлено по цене( 20,80руб+38,07руб )за  671м3</t>
  </si>
  <si>
    <t xml:space="preserve">           Начисленно за водоснабжение и водоотведение жильцам           561м3</t>
  </si>
  <si>
    <t xml:space="preserve">           итого:                                        561м3 - 671м3 = - 110м3</t>
  </si>
  <si>
    <t>пр.Советский, дом 23.</t>
  </si>
  <si>
    <t xml:space="preserve">  в том числе:       содерж.и текущий ремонт</t>
  </si>
  <si>
    <t xml:space="preserve">  в том числе:                МУП"Водоканал"                              </t>
  </si>
  <si>
    <t xml:space="preserve"> в том числе: Диспетчерское обслуживание,бслуживание  внутридомовых инженерных сетей,ликвидация аварий на  сетях и оборудовании.</t>
  </si>
  <si>
    <t xml:space="preserve">                           Профилактическая дератизация</t>
  </si>
  <si>
    <t xml:space="preserve">                          Содержание дворовой территории.</t>
  </si>
  <si>
    <t xml:space="preserve">                          Освещение мест общего пользования    1992кВт</t>
  </si>
  <si>
    <t xml:space="preserve">                         Вывоз ТБО  (59чел *0,1м3 * 230руб *12мес.)</t>
  </si>
  <si>
    <t xml:space="preserve">                          Расходы по управлению ЖКХ"Служба заказчика"</t>
  </si>
  <si>
    <t>19.</t>
  </si>
  <si>
    <t xml:space="preserve">                         Текущий ремонт общего имущества:   всего</t>
  </si>
  <si>
    <t>ул. Спортивная, дом 13.</t>
  </si>
  <si>
    <t xml:space="preserve">                    Вывоз ТБО  (27чел *0,1м3 * 230руб *12мес.)</t>
  </si>
  <si>
    <r>
      <t xml:space="preserve">                          ООО"ЭТС": </t>
    </r>
    <r>
      <rPr>
        <sz val="9"/>
        <rFont val="Arial"/>
        <family val="2"/>
      </rPr>
      <t>Опломбирование эл.счетчика.</t>
    </r>
  </si>
  <si>
    <t xml:space="preserve">                                     водоснабжение</t>
  </si>
  <si>
    <t xml:space="preserve">           МУП "Водоканал" - предъявлено по цене( 20,80руб ) за                             169м3</t>
  </si>
  <si>
    <t xml:space="preserve">           Начисленно за водоснабжение и водоотведение жильцам за 2011г              93м3</t>
  </si>
  <si>
    <t xml:space="preserve">           итого:                                        169м3 - 93м3 =  76м3</t>
  </si>
  <si>
    <t xml:space="preserve">                                          водоснабжение </t>
  </si>
  <si>
    <t xml:space="preserve">  в том числе:                    содерж.и текущий ремонт</t>
  </si>
  <si>
    <t xml:space="preserve">                                                водоснабжение </t>
  </si>
  <si>
    <t xml:space="preserve">                    Профилактическая дератизация</t>
  </si>
  <si>
    <t xml:space="preserve">                    Вывоз ТБО  (18чел *0,1м3 * 285руб *12мес.)</t>
  </si>
  <si>
    <t xml:space="preserve">                                     водоснабжение </t>
  </si>
  <si>
    <t xml:space="preserve">           МУП "Водоканал" - предъявлено по цене( 20,80руб ) за        112м3</t>
  </si>
  <si>
    <t xml:space="preserve">           Начисленно за водоснабжение и водоотведение жильцам за 2011г      162,8м3</t>
  </si>
  <si>
    <t xml:space="preserve">           итого:                                        112м3 - 162,8м3 = - 50,8м3</t>
  </si>
  <si>
    <t>Добрынино, ул.Строителей, дом 7.</t>
  </si>
  <si>
    <t>ул.Шалаурова, дом 20</t>
  </si>
  <si>
    <t xml:space="preserve">                           Освещение мест общего пользования  178 кВт</t>
  </si>
  <si>
    <t xml:space="preserve">                         Вывоз ТБО  (15чел *0,1м3 * 230руб *12мес.)</t>
  </si>
  <si>
    <t>ул. Пионерская, дом 29.</t>
  </si>
  <si>
    <t xml:space="preserve">     в том числе:                МУП"Водоканал"</t>
  </si>
  <si>
    <t xml:space="preserve"> в том числе:       Диспетчерское обслуживание,обслуживание  внутридомовых инженерных сетей,ликвидация аварий на  сетях и оборудовании.</t>
  </si>
  <si>
    <t xml:space="preserve">                    Вывоз ТБО  (31чел *0,1м3 * 230руб *12мес.)</t>
  </si>
  <si>
    <t xml:space="preserve">                   ООО "АВС"Вывоз дворового мусора трактором с ручн.погруз. 6м3 </t>
  </si>
  <si>
    <r>
      <t>февраль:</t>
    </r>
    <r>
      <rPr>
        <sz val="9"/>
        <rFont val="Arial"/>
        <family val="2"/>
      </rPr>
      <t xml:space="preserve"> Чистка дым. труб и печей.Очистка кров. от снега у пожар. лестницы и над подъез.</t>
    </r>
  </si>
  <si>
    <t>Остаток денежных средств ( с учетом задолженности) за  2011г.содержание и текущий ремонт       (стр.2.1. -  стр.5.2.)</t>
  </si>
  <si>
    <t>Муниципальная доля по возмещению затрат на рем.септика.</t>
  </si>
  <si>
    <t>Оплачено по дополн.платежу в 2011г.</t>
  </si>
  <si>
    <t xml:space="preserve">                                    водоснабжение</t>
  </si>
  <si>
    <t xml:space="preserve">                                     Долг по доп.платежу на рем.септика  кв.9</t>
  </si>
  <si>
    <t xml:space="preserve">           МУП "Водоканал" - предъявлено по цене( 20,80руб ) за        411м3</t>
  </si>
  <si>
    <t xml:space="preserve">           Начисленно за водоснабжение и водоотведение жильцам за 2011г      305м3</t>
  </si>
  <si>
    <t xml:space="preserve">           итого:                                        411м3 - 305м3 =  106м3</t>
  </si>
  <si>
    <t>за  2012 год</t>
  </si>
  <si>
    <t>Задолженность жильцов на 01.01.2012г.</t>
  </si>
  <si>
    <t>Начисленно квартплаты за 2012г.</t>
  </si>
  <si>
    <t>содержание и ремонт на 31.12.2012г.</t>
  </si>
  <si>
    <t xml:space="preserve">                  Вывоз ТБО  (19чел *0,1м3 * 270руб *12мес.)</t>
  </si>
  <si>
    <t xml:space="preserve">                Содержание дворовой территории</t>
  </si>
  <si>
    <r>
      <t xml:space="preserve">                       май:</t>
    </r>
    <r>
      <rPr>
        <sz val="9"/>
        <rFont val="Arial"/>
        <family val="2"/>
      </rPr>
      <t xml:space="preserve"> Вывоз мусора с двор. территории после субботника(трактор. телега АВС)</t>
    </r>
  </si>
  <si>
    <t>Остаток денежных средств на 01.01.2012г</t>
  </si>
  <si>
    <t>Остаток денежных средств  за 2012г</t>
  </si>
  <si>
    <t>Всего на 31.012.2012г.</t>
  </si>
  <si>
    <t>Начисленно квартплаты  за 2012 год.:</t>
  </si>
  <si>
    <t xml:space="preserve">   в том числе :             содержание и текущий ремонт</t>
  </si>
  <si>
    <t xml:space="preserve">  в том числе:              содерж.и текущий ремонт</t>
  </si>
  <si>
    <t xml:space="preserve">                    Вывоз ТБО  (16чел *0,1м3 * 270руб *12мес.)</t>
  </si>
  <si>
    <t>Остаток денежных средств ( с учетом задолженности) на 31.12.2012г. (стр.2 - стр.5)</t>
  </si>
  <si>
    <t xml:space="preserve">Остаток денежных средств ( с учетом задолженности) на 01.01.2012г.      </t>
  </si>
  <si>
    <t>Всего на 31.12.2012г.</t>
  </si>
  <si>
    <t>Сумма задолженности за жилищно-коммун.услуги на 31.12. 2012г - всего</t>
  </si>
  <si>
    <t>приборов учета воды всех квартир и норм.потребления где приборы учета не установлены за 2012г.</t>
  </si>
  <si>
    <t xml:space="preserve">           МУП "Водоканал" -              предъявлено за 2012г       109м3</t>
  </si>
  <si>
    <r>
      <t xml:space="preserve">                           МУП "Водоканал"</t>
    </r>
    <r>
      <rPr>
        <sz val="9"/>
        <rFont val="Arial"/>
        <family val="2"/>
      </rPr>
      <t>Выход специалиста по принятию водомерного узла</t>
    </r>
  </si>
  <si>
    <t xml:space="preserve">           Начисленно за водоснабжение  жильцам за 2012г        82,0м3</t>
  </si>
  <si>
    <t xml:space="preserve">           итого:                                        109м3 - 82м3 = 27м3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</si>
</sst>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u val="sing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10" fillId="0" borderId="2" xfId="0" applyFont="1" applyFill="1" applyBorder="1" applyAlignment="1">
      <alignment/>
    </xf>
    <xf numFmtId="2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2" xfId="0" applyFont="1" applyFill="1" applyBorder="1" applyAlignment="1">
      <alignment/>
    </xf>
    <xf numFmtId="2" fontId="11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0" fontId="12" fillId="0" borderId="2" xfId="0" applyFont="1" applyFill="1" applyBorder="1" applyAlignment="1">
      <alignment/>
    </xf>
    <xf numFmtId="2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0" fontId="12" fillId="0" borderId="2" xfId="0" applyFont="1" applyBorder="1" applyAlignment="1">
      <alignment/>
    </xf>
    <xf numFmtId="2" fontId="1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0" fillId="0" borderId="0" xfId="0" applyBorder="1" applyAlignment="1">
      <alignment/>
    </xf>
    <xf numFmtId="0" fontId="14" fillId="0" borderId="4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6" xfId="0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2" fontId="6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0" fontId="14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3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2" fontId="7" fillId="2" borderId="4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wrapText="1"/>
    </xf>
    <xf numFmtId="0" fontId="15" fillId="0" borderId="3" xfId="0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" fontId="0" fillId="0" borderId="4" xfId="0" applyNumberFormat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14" fillId="0" borderId="4" xfId="0" applyFont="1" applyBorder="1" applyAlignment="1">
      <alignment wrapText="1"/>
    </xf>
    <xf numFmtId="2" fontId="4" fillId="3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14" fillId="0" borderId="5" xfId="0" applyFont="1" applyFill="1" applyBorder="1" applyAlignment="1">
      <alignment/>
    </xf>
    <xf numFmtId="2" fontId="7" fillId="0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wrapText="1"/>
    </xf>
    <xf numFmtId="2" fontId="22" fillId="0" borderId="0" xfId="0" applyNumberFormat="1" applyFont="1" applyAlignment="1">
      <alignment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4" fillId="2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28"/>
  <sheetViews>
    <sheetView tabSelected="1" workbookViewId="0" topLeftCell="A62">
      <selection activeCell="B70" sqref="B70:C74"/>
    </sheetView>
  </sheetViews>
  <sheetFormatPr defaultColWidth="9.00390625" defaultRowHeight="12.75"/>
  <cols>
    <col min="1" max="1" width="5.125" style="0" customWidth="1"/>
    <col min="2" max="2" width="76.25390625" style="0" customWidth="1"/>
    <col min="3" max="3" width="17.875" style="0" customWidth="1"/>
  </cols>
  <sheetData>
    <row r="2" spans="2:4" ht="15">
      <c r="B2" s="152" t="s">
        <v>0</v>
      </c>
      <c r="C2" s="152"/>
      <c r="D2" s="152"/>
    </row>
    <row r="3" spans="2:4" ht="15">
      <c r="B3" s="153" t="s">
        <v>1</v>
      </c>
      <c r="C3" s="153"/>
      <c r="D3" s="1"/>
    </row>
    <row r="4" spans="2:4" ht="18.75">
      <c r="B4" s="154" t="s">
        <v>2</v>
      </c>
      <c r="C4" s="154"/>
      <c r="D4" s="154"/>
    </row>
    <row r="5" spans="2:4" ht="15.75">
      <c r="B5" s="155" t="s">
        <v>367</v>
      </c>
      <c r="C5" s="155"/>
      <c r="D5" s="155"/>
    </row>
    <row r="6" spans="2:4" ht="12.75">
      <c r="B6" s="3"/>
      <c r="C6" s="4"/>
      <c r="D6" s="5"/>
    </row>
    <row r="7" spans="2:4" ht="14.25">
      <c r="B7" s="6"/>
      <c r="C7" s="7"/>
      <c r="D7" s="5"/>
    </row>
    <row r="8" spans="1:4" ht="15.75">
      <c r="A8" s="8"/>
      <c r="B8" s="9" t="s">
        <v>4</v>
      </c>
      <c r="C8" s="10">
        <v>316</v>
      </c>
      <c r="D8" s="5"/>
    </row>
    <row r="9" spans="1:4" ht="15">
      <c r="A9" s="8"/>
      <c r="B9" s="11" t="s">
        <v>5</v>
      </c>
      <c r="C9" s="12">
        <v>3.2</v>
      </c>
      <c r="D9" s="13"/>
    </row>
    <row r="10" spans="1:4" ht="15">
      <c r="A10" s="8"/>
      <c r="B10" s="14" t="s">
        <v>6</v>
      </c>
      <c r="C10" s="15">
        <v>5.49</v>
      </c>
      <c r="D10" s="13"/>
    </row>
    <row r="11" spans="1:4" ht="18.75">
      <c r="A11" s="8"/>
      <c r="B11" s="16" t="s">
        <v>368</v>
      </c>
      <c r="C11" s="51">
        <f>602.98+1034.06</f>
        <v>1637.04</v>
      </c>
      <c r="D11" s="13"/>
    </row>
    <row r="12" spans="1:4" ht="18">
      <c r="A12" s="18">
        <v>1</v>
      </c>
      <c r="B12" s="19" t="s">
        <v>369</v>
      </c>
      <c r="C12" s="20">
        <v>32952.48</v>
      </c>
      <c r="D12" s="5"/>
    </row>
    <row r="13" spans="1:4" ht="18">
      <c r="A13" s="18">
        <v>2</v>
      </c>
      <c r="B13" s="21" t="s">
        <v>9</v>
      </c>
      <c r="C13" s="22">
        <f>(C11+C12)-C15</f>
        <v>30530.58</v>
      </c>
      <c r="D13" s="5"/>
    </row>
    <row r="14" spans="1:4" ht="15">
      <c r="A14" s="18">
        <v>3</v>
      </c>
      <c r="B14" s="23" t="s">
        <v>10</v>
      </c>
      <c r="C14" s="24"/>
      <c r="D14" s="5"/>
    </row>
    <row r="15" spans="1:4" ht="15">
      <c r="A15" s="18"/>
      <c r="B15" s="25" t="s">
        <v>370</v>
      </c>
      <c r="C15" s="24">
        <f>2564.3+1494.64</f>
        <v>4058.9400000000005</v>
      </c>
      <c r="D15" s="5"/>
    </row>
    <row r="16" spans="1:4" ht="15">
      <c r="A16" s="26"/>
      <c r="B16" s="27"/>
      <c r="C16" s="28"/>
      <c r="D16" s="5"/>
    </row>
    <row r="17" spans="1:4" ht="15">
      <c r="A17" s="26"/>
      <c r="B17" s="27"/>
      <c r="C17" s="28"/>
      <c r="D17" s="5"/>
    </row>
    <row r="18" spans="1:4" ht="31.5">
      <c r="A18" s="18">
        <v>4</v>
      </c>
      <c r="B18" s="29" t="s">
        <v>12</v>
      </c>
      <c r="C18" s="30">
        <f>C19+C20+C21+C22+C23+C25+C26</f>
        <v>24090.582000000002</v>
      </c>
      <c r="D18" s="5"/>
    </row>
    <row r="19" spans="1:4" ht="39">
      <c r="A19" s="31" t="s">
        <v>13</v>
      </c>
      <c r="B19" s="32" t="s">
        <v>14</v>
      </c>
      <c r="C19" s="33">
        <v>1039.93</v>
      </c>
      <c r="D19" s="5"/>
    </row>
    <row r="20" spans="1:4" ht="15.75">
      <c r="A20" s="18" t="s">
        <v>15</v>
      </c>
      <c r="B20" s="34" t="s">
        <v>16</v>
      </c>
      <c r="C20" s="35">
        <v>0</v>
      </c>
      <c r="D20" s="5"/>
    </row>
    <row r="21" spans="1:4" ht="15.75">
      <c r="A21" s="18" t="s">
        <v>15</v>
      </c>
      <c r="B21" s="36" t="s">
        <v>17</v>
      </c>
      <c r="C21" s="35">
        <v>880.72</v>
      </c>
      <c r="D21" s="5"/>
    </row>
    <row r="22" spans="1:4" ht="15.75">
      <c r="A22" s="18" t="s">
        <v>18</v>
      </c>
      <c r="B22" s="34" t="s">
        <v>371</v>
      </c>
      <c r="C22" s="37">
        <f>1.9*270*12</f>
        <v>6156</v>
      </c>
      <c r="D22" s="5"/>
    </row>
    <row r="23" spans="1:4" ht="15.75">
      <c r="A23" s="18" t="s">
        <v>178</v>
      </c>
      <c r="B23" s="38" t="s">
        <v>19</v>
      </c>
      <c r="C23" s="39">
        <f>C12*0.15</f>
        <v>4942.872</v>
      </c>
      <c r="D23" s="5"/>
    </row>
    <row r="24" spans="1:4" ht="15">
      <c r="A24" s="18"/>
      <c r="B24" s="36" t="s">
        <v>372</v>
      </c>
      <c r="C24" s="61"/>
      <c r="D24" s="5"/>
    </row>
    <row r="25" spans="1:4" ht="15.75">
      <c r="A25" s="18"/>
      <c r="B25" s="87" t="s">
        <v>373</v>
      </c>
      <c r="C25" s="35">
        <v>1957</v>
      </c>
      <c r="D25" s="5"/>
    </row>
    <row r="26" spans="1:4" ht="15.75">
      <c r="A26" s="8">
        <v>5</v>
      </c>
      <c r="B26" s="34" t="s">
        <v>20</v>
      </c>
      <c r="C26" s="35">
        <v>9114.06</v>
      </c>
      <c r="D26" s="5"/>
    </row>
    <row r="27" spans="1:4" ht="12.75">
      <c r="A27" s="8"/>
      <c r="B27" s="42"/>
      <c r="C27" s="43"/>
      <c r="D27" s="5"/>
    </row>
    <row r="28" spans="1:4" ht="18">
      <c r="A28" s="8"/>
      <c r="B28" s="44" t="s">
        <v>374</v>
      </c>
      <c r="C28" s="72">
        <v>23119.84</v>
      </c>
      <c r="D28" s="5"/>
    </row>
    <row r="29" spans="1:4" ht="18">
      <c r="A29" s="8"/>
      <c r="B29" s="44" t="s">
        <v>375</v>
      </c>
      <c r="C29" s="22">
        <f>C13-C18</f>
        <v>6439.998</v>
      </c>
      <c r="D29" s="5"/>
    </row>
    <row r="30" spans="1:4" ht="18.75">
      <c r="A30" s="8"/>
      <c r="B30" s="73" t="s">
        <v>376</v>
      </c>
      <c r="C30" s="72">
        <f>SUM(C28:C29)</f>
        <v>29559.838</v>
      </c>
      <c r="D30" s="5"/>
    </row>
    <row r="31" ht="12.75">
      <c r="D31" s="45"/>
    </row>
    <row r="32" ht="51.75" customHeight="1"/>
    <row r="33" spans="2:4" ht="15">
      <c r="B33" s="152" t="s">
        <v>0</v>
      </c>
      <c r="C33" s="152"/>
      <c r="D33" s="152"/>
    </row>
    <row r="34" spans="2:4" ht="15">
      <c r="B34" s="153" t="s">
        <v>1</v>
      </c>
      <c r="C34" s="153"/>
      <c r="D34" s="1"/>
    </row>
    <row r="35" spans="2:4" ht="18.75">
      <c r="B35" s="154" t="s">
        <v>23</v>
      </c>
      <c r="C35" s="154"/>
      <c r="D35" s="154"/>
    </row>
    <row r="36" spans="2:4" ht="15.75">
      <c r="B36" s="155" t="s">
        <v>367</v>
      </c>
      <c r="C36" s="155"/>
      <c r="D36" s="155"/>
    </row>
    <row r="37" spans="2:4" ht="14.25">
      <c r="B37" s="6"/>
      <c r="C37" s="7"/>
      <c r="D37" s="5"/>
    </row>
    <row r="38" spans="1:4" ht="15">
      <c r="A38" s="8"/>
      <c r="B38" s="46" t="s">
        <v>4</v>
      </c>
      <c r="C38" s="47">
        <v>324.21</v>
      </c>
      <c r="D38" s="5"/>
    </row>
    <row r="39" spans="1:4" ht="12.75">
      <c r="A39" s="8"/>
      <c r="B39" s="48" t="s">
        <v>24</v>
      </c>
      <c r="C39" s="49">
        <v>3.74</v>
      </c>
      <c r="D39" s="5"/>
    </row>
    <row r="40" spans="1:4" ht="12.75">
      <c r="A40" s="8"/>
      <c r="B40" s="50" t="s">
        <v>6</v>
      </c>
      <c r="C40" s="49">
        <v>6.42</v>
      </c>
      <c r="D40" s="13"/>
    </row>
    <row r="41" spans="1:4" ht="18.75">
      <c r="A41" s="8"/>
      <c r="B41" s="16" t="s">
        <v>368</v>
      </c>
      <c r="C41" s="51">
        <f>C42+C43</f>
        <v>11041.17</v>
      </c>
      <c r="D41" s="13"/>
    </row>
    <row r="42" spans="1:4" ht="15.75">
      <c r="A42" s="8"/>
      <c r="B42" s="68" t="s">
        <v>52</v>
      </c>
      <c r="C42" s="35">
        <v>10914.2</v>
      </c>
      <c r="D42" s="13"/>
    </row>
    <row r="43" spans="1:4" ht="15.75">
      <c r="A43" s="8"/>
      <c r="B43" s="68" t="s">
        <v>336</v>
      </c>
      <c r="C43" s="35">
        <v>126.97</v>
      </c>
      <c r="D43" s="5"/>
    </row>
    <row r="44" spans="1:4" ht="18.75">
      <c r="A44" s="8"/>
      <c r="B44" s="16"/>
      <c r="C44" s="51"/>
      <c r="D44" s="5"/>
    </row>
    <row r="45" spans="1:4" ht="18.75">
      <c r="A45" s="18">
        <v>1</v>
      </c>
      <c r="B45" s="19" t="s">
        <v>377</v>
      </c>
      <c r="C45" s="51">
        <f>C46+C47</f>
        <v>39887.59</v>
      </c>
      <c r="D45" s="5"/>
    </row>
    <row r="46" spans="1:4" ht="15">
      <c r="A46" s="18"/>
      <c r="B46" s="23" t="s">
        <v>378</v>
      </c>
      <c r="C46" s="24">
        <f>3558.81+6108.54+10458.67+17950.57</f>
        <v>38076.59</v>
      </c>
      <c r="D46" s="5"/>
    </row>
    <row r="47" spans="1:4" ht="15">
      <c r="A47" s="18"/>
      <c r="B47" s="23" t="s">
        <v>303</v>
      </c>
      <c r="C47" s="24">
        <v>1811</v>
      </c>
      <c r="D47" s="5"/>
    </row>
    <row r="48" spans="1:4" ht="18">
      <c r="A48" s="18">
        <v>2</v>
      </c>
      <c r="B48" s="19" t="s">
        <v>28</v>
      </c>
      <c r="C48" s="20">
        <f>C49+C50</f>
        <v>43816.38</v>
      </c>
      <c r="D48" s="5"/>
    </row>
    <row r="49" spans="1:4" ht="15.75">
      <c r="A49" s="18" t="s">
        <v>29</v>
      </c>
      <c r="B49" s="108" t="s">
        <v>379</v>
      </c>
      <c r="C49" s="35">
        <f>C42+C46-C68</f>
        <v>42068.56</v>
      </c>
      <c r="D49" s="5"/>
    </row>
    <row r="50" spans="1:4" ht="15.75">
      <c r="A50" s="18" t="s">
        <v>31</v>
      </c>
      <c r="B50" s="23" t="s">
        <v>303</v>
      </c>
      <c r="C50" s="35">
        <f>C43+C47-C69</f>
        <v>1747.82</v>
      </c>
      <c r="D50" s="5"/>
    </row>
    <row r="51" spans="1:4" ht="36">
      <c r="A51" s="18">
        <v>5</v>
      </c>
      <c r="B51" s="53" t="s">
        <v>12</v>
      </c>
      <c r="C51" s="74">
        <f>C52+C54</f>
        <v>35385.5785</v>
      </c>
      <c r="D51" s="5"/>
    </row>
    <row r="52" spans="1:4" ht="18.75">
      <c r="A52" s="18"/>
      <c r="B52" s="55" t="s">
        <v>32</v>
      </c>
      <c r="C52" s="56">
        <f>C53</f>
        <v>2397.89</v>
      </c>
      <c r="D52" s="5"/>
    </row>
    <row r="53" spans="1:4" ht="15">
      <c r="A53" s="18" t="s">
        <v>33</v>
      </c>
      <c r="B53" s="57" t="s">
        <v>34</v>
      </c>
      <c r="C53" s="58">
        <v>2397.89</v>
      </c>
      <c r="D53" s="5"/>
    </row>
    <row r="54" spans="1:4" ht="18.75">
      <c r="A54" s="18" t="s">
        <v>35</v>
      </c>
      <c r="B54" s="55" t="s">
        <v>36</v>
      </c>
      <c r="C54" s="56">
        <f>C55+C56+C57+C58+C59+C60+C61</f>
        <v>32987.688500000004</v>
      </c>
      <c r="D54" s="5"/>
    </row>
    <row r="55" spans="1:4" ht="38.25">
      <c r="A55" s="31" t="s">
        <v>37</v>
      </c>
      <c r="B55" s="32" t="s">
        <v>14</v>
      </c>
      <c r="C55" s="61">
        <v>6727.4</v>
      </c>
      <c r="D55" s="5"/>
    </row>
    <row r="56" spans="1:4" ht="12.75">
      <c r="A56" s="18" t="s">
        <v>38</v>
      </c>
      <c r="B56" s="60" t="s">
        <v>39</v>
      </c>
      <c r="C56" s="61">
        <v>0</v>
      </c>
      <c r="D56" s="5"/>
    </row>
    <row r="57" spans="1:3" ht="12.75">
      <c r="A57" s="18" t="s">
        <v>40</v>
      </c>
      <c r="B57" s="62" t="s">
        <v>41</v>
      </c>
      <c r="C57" s="61">
        <v>5774.57</v>
      </c>
    </row>
    <row r="58" spans="1:3" ht="12.75">
      <c r="A58" s="31" t="s">
        <v>42</v>
      </c>
      <c r="B58" s="60" t="s">
        <v>380</v>
      </c>
      <c r="C58" s="61">
        <f>1.6*270*12</f>
        <v>5184</v>
      </c>
    </row>
    <row r="59" spans="1:3" ht="12.75">
      <c r="A59" s="31" t="s">
        <v>43</v>
      </c>
      <c r="B59" s="87" t="s">
        <v>387</v>
      </c>
      <c r="C59" s="61">
        <v>165</v>
      </c>
    </row>
    <row r="60" spans="1:3" ht="12.75">
      <c r="A60" s="31" t="s">
        <v>45</v>
      </c>
      <c r="B60" s="60" t="s">
        <v>44</v>
      </c>
      <c r="C60" s="61">
        <f>C46*0.15</f>
        <v>5711.4884999999995</v>
      </c>
    </row>
    <row r="61" spans="1:3" ht="12.75">
      <c r="A61" s="18" t="s">
        <v>134</v>
      </c>
      <c r="B61" s="60" t="s">
        <v>46</v>
      </c>
      <c r="C61" s="61">
        <v>9425.23</v>
      </c>
    </row>
    <row r="62" spans="1:4" ht="12.75">
      <c r="A62" s="8"/>
      <c r="B62" s="66"/>
      <c r="C62" s="71"/>
      <c r="D62" s="65"/>
    </row>
    <row r="63" spans="1:4" ht="25.5">
      <c r="A63" s="8"/>
      <c r="B63" s="123" t="s">
        <v>381</v>
      </c>
      <c r="C63" s="61">
        <f>C48-C51</f>
        <v>8430.801499999994</v>
      </c>
      <c r="D63" s="65"/>
    </row>
    <row r="64" spans="1:4" ht="12.75">
      <c r="A64" s="8"/>
      <c r="B64" s="123" t="s">
        <v>382</v>
      </c>
      <c r="C64" s="61">
        <v>21881.19</v>
      </c>
      <c r="D64" s="65"/>
    </row>
    <row r="65" spans="1:4" ht="15">
      <c r="A65" s="8"/>
      <c r="B65" s="68" t="s">
        <v>383</v>
      </c>
      <c r="C65" s="156">
        <f>SUM(C63:C64)</f>
        <v>30311.991499999993</v>
      </c>
      <c r="D65" s="65"/>
    </row>
    <row r="66" spans="1:4" ht="15.75">
      <c r="A66" s="8"/>
      <c r="B66" s="68"/>
      <c r="C66" s="35"/>
      <c r="D66" s="65"/>
    </row>
    <row r="67" spans="1:4" ht="30">
      <c r="A67" s="8"/>
      <c r="B67" s="68" t="s">
        <v>384</v>
      </c>
      <c r="C67" s="35">
        <f>C68+C69</f>
        <v>7112.379999999999</v>
      </c>
      <c r="D67" s="65"/>
    </row>
    <row r="68" spans="1:4" ht="15.75">
      <c r="A68" s="8"/>
      <c r="B68" s="68" t="s">
        <v>52</v>
      </c>
      <c r="C68" s="35">
        <f>2548.19+4374.04</f>
        <v>6922.23</v>
      </c>
      <c r="D68" s="65"/>
    </row>
    <row r="69" spans="1:4" ht="15.75">
      <c r="A69" s="8"/>
      <c r="B69" s="68" t="s">
        <v>336</v>
      </c>
      <c r="C69" s="35">
        <v>190.15</v>
      </c>
      <c r="D69" s="65"/>
    </row>
    <row r="70" spans="1:4" ht="12.75">
      <c r="A70" s="65"/>
      <c r="B70" s="157" t="s">
        <v>108</v>
      </c>
      <c r="C70" s="157"/>
      <c r="D70" s="65"/>
    </row>
    <row r="71" spans="1:4" ht="12.75">
      <c r="A71" s="65"/>
      <c r="B71" s="157" t="s">
        <v>385</v>
      </c>
      <c r="C71" s="157"/>
      <c r="D71" s="65"/>
    </row>
    <row r="72" spans="1:4" ht="12.75">
      <c r="A72" s="65"/>
      <c r="B72" s="157" t="s">
        <v>386</v>
      </c>
      <c r="C72" s="158">
        <f>(75*21.353)+796.41</f>
        <v>2397.885</v>
      </c>
      <c r="D72" s="65"/>
    </row>
    <row r="73" spans="1:4" ht="12.75">
      <c r="A73" s="65"/>
      <c r="B73" s="157" t="s">
        <v>388</v>
      </c>
      <c r="C73" s="158">
        <f>1014.59+796.41</f>
        <v>1811</v>
      </c>
      <c r="D73" s="65"/>
    </row>
    <row r="74" spans="1:4" ht="15">
      <c r="A74" s="65"/>
      <c r="B74" s="159" t="s">
        <v>389</v>
      </c>
      <c r="C74" s="160">
        <f>C72-C73</f>
        <v>586.8850000000002</v>
      </c>
      <c r="D74" s="65"/>
    </row>
    <row r="75" ht="18" customHeight="1"/>
    <row r="76" spans="2:4" ht="15">
      <c r="B76" s="152" t="s">
        <v>0</v>
      </c>
      <c r="C76" s="152"/>
      <c r="D76" s="152"/>
    </row>
    <row r="77" spans="2:4" ht="15">
      <c r="B77" s="153" t="s">
        <v>1</v>
      </c>
      <c r="C77" s="153"/>
      <c r="D77" s="1"/>
    </row>
    <row r="78" spans="2:4" ht="18.75">
      <c r="B78" s="154" t="s">
        <v>54</v>
      </c>
      <c r="C78" s="154"/>
      <c r="D78" s="154"/>
    </row>
    <row r="79" spans="2:4" ht="15.75">
      <c r="B79" s="155" t="s">
        <v>3</v>
      </c>
      <c r="C79" s="155"/>
      <c r="D79" s="155"/>
    </row>
    <row r="80" spans="2:4" ht="12.75">
      <c r="B80" s="3"/>
      <c r="C80" s="4"/>
      <c r="D80" s="5"/>
    </row>
    <row r="81" spans="2:4" ht="14.25">
      <c r="B81" s="6"/>
      <c r="C81" s="7"/>
      <c r="D81" s="5"/>
    </row>
    <row r="82" spans="1:4" ht="15.75">
      <c r="A82" s="8"/>
      <c r="B82" s="9" t="s">
        <v>4</v>
      </c>
      <c r="C82" s="10">
        <v>324.8</v>
      </c>
      <c r="D82" s="5"/>
    </row>
    <row r="83" spans="1:4" ht="15">
      <c r="A83" s="8"/>
      <c r="B83" s="11" t="s">
        <v>5</v>
      </c>
      <c r="C83" s="12">
        <v>3.2</v>
      </c>
      <c r="D83" s="13"/>
    </row>
    <row r="84" spans="1:4" ht="15">
      <c r="A84" s="8"/>
      <c r="B84" s="14" t="s">
        <v>6</v>
      </c>
      <c r="C84" s="15">
        <v>5.49</v>
      </c>
      <c r="D84" s="13"/>
    </row>
    <row r="85" spans="1:4" ht="18.75">
      <c r="A85" s="8"/>
      <c r="B85" s="16" t="s">
        <v>7</v>
      </c>
      <c r="C85" s="17">
        <f>1128.96+1934.16</f>
        <v>3063.12</v>
      </c>
      <c r="D85" s="13"/>
    </row>
    <row r="86" spans="1:4" ht="18">
      <c r="A86" s="18">
        <v>1</v>
      </c>
      <c r="B86" s="19" t="s">
        <v>8</v>
      </c>
      <c r="C86" s="20">
        <f>12472.32+21398.04</f>
        <v>33870.36</v>
      </c>
      <c r="D86" s="5"/>
    </row>
    <row r="87" spans="1:4" ht="18">
      <c r="A87" s="18">
        <v>2</v>
      </c>
      <c r="B87" s="21" t="s">
        <v>9</v>
      </c>
      <c r="C87" s="22">
        <f>(C85+C86)-C89</f>
        <v>33793.91</v>
      </c>
      <c r="D87" s="5"/>
    </row>
    <row r="88" spans="1:4" ht="15">
      <c r="A88" s="18">
        <v>3</v>
      </c>
      <c r="B88" s="23" t="s">
        <v>10</v>
      </c>
      <c r="C88" s="24"/>
      <c r="D88" s="5"/>
    </row>
    <row r="89" spans="1:4" ht="15">
      <c r="A89" s="18"/>
      <c r="B89" s="25" t="s">
        <v>11</v>
      </c>
      <c r="C89" s="24">
        <f>1156.12+1983.45</f>
        <v>3139.5699999999997</v>
      </c>
      <c r="D89" s="5"/>
    </row>
    <row r="90" spans="1:4" ht="15">
      <c r="A90" s="26"/>
      <c r="B90" s="27"/>
      <c r="C90" s="28"/>
      <c r="D90" s="5"/>
    </row>
    <row r="91" spans="1:4" ht="15">
      <c r="A91" s="26"/>
      <c r="B91" s="27"/>
      <c r="C91" s="28"/>
      <c r="D91" s="5"/>
    </row>
    <row r="92" spans="1:4" ht="31.5">
      <c r="A92" s="18">
        <v>4</v>
      </c>
      <c r="B92" s="29" t="s">
        <v>12</v>
      </c>
      <c r="C92" s="30">
        <f>C93+C94+C95+C96+C97+C98</f>
        <v>15174.294</v>
      </c>
      <c r="D92" s="5"/>
    </row>
    <row r="93" spans="1:4" ht="39">
      <c r="A93" s="31" t="s">
        <v>13</v>
      </c>
      <c r="B93" s="32" t="s">
        <v>14</v>
      </c>
      <c r="C93" s="33">
        <v>1283.08</v>
      </c>
      <c r="D93" s="5"/>
    </row>
    <row r="94" spans="1:4" ht="15.75">
      <c r="A94" s="18" t="s">
        <v>15</v>
      </c>
      <c r="B94" s="34" t="s">
        <v>16</v>
      </c>
      <c r="C94" s="35">
        <v>45.6</v>
      </c>
      <c r="D94" s="5"/>
    </row>
    <row r="95" spans="1:4" ht="15.75">
      <c r="A95" s="18"/>
      <c r="B95" s="36" t="s">
        <v>17</v>
      </c>
      <c r="C95" s="35">
        <v>753.3</v>
      </c>
      <c r="D95" s="5"/>
    </row>
    <row r="96" spans="1:4" ht="15.75">
      <c r="A96" s="18" t="s">
        <v>18</v>
      </c>
      <c r="B96" s="34" t="s">
        <v>55</v>
      </c>
      <c r="C96" s="37">
        <f>1.7*230*12</f>
        <v>4692</v>
      </c>
      <c r="D96" s="5"/>
    </row>
    <row r="97" spans="1:4" ht="15.75">
      <c r="A97" s="18"/>
      <c r="B97" s="38" t="s">
        <v>19</v>
      </c>
      <c r="C97" s="39">
        <f>C86*0.15</f>
        <v>5080.554</v>
      </c>
      <c r="D97" s="5"/>
    </row>
    <row r="98" spans="1:4" ht="15.75">
      <c r="A98" s="8">
        <v>5</v>
      </c>
      <c r="B98" s="34" t="s">
        <v>20</v>
      </c>
      <c r="C98" s="35">
        <f>C99+C100+C101</f>
        <v>3319.76</v>
      </c>
      <c r="D98" s="5"/>
    </row>
    <row r="99" spans="1:4" ht="12.75">
      <c r="A99" s="8"/>
      <c r="B99" s="40" t="s">
        <v>21</v>
      </c>
      <c r="C99" s="71">
        <v>1126.49</v>
      </c>
      <c r="D99" s="5"/>
    </row>
    <row r="100" spans="1:4" ht="12.75">
      <c r="A100" s="8"/>
      <c r="B100" s="40" t="s">
        <v>56</v>
      </c>
      <c r="C100" s="71">
        <v>225.41</v>
      </c>
      <c r="D100" s="5"/>
    </row>
    <row r="101" spans="1:4" ht="24">
      <c r="A101" s="8"/>
      <c r="B101" s="40" t="s">
        <v>57</v>
      </c>
      <c r="C101" s="71">
        <v>1967.86</v>
      </c>
      <c r="D101" s="5"/>
    </row>
    <row r="102" spans="1:4" ht="12.75">
      <c r="A102" s="8"/>
      <c r="B102" s="42"/>
      <c r="C102" s="43"/>
      <c r="D102" s="5"/>
    </row>
    <row r="103" spans="1:4" ht="12.75">
      <c r="A103" s="8"/>
      <c r="B103" s="42"/>
      <c r="C103" s="43"/>
      <c r="D103" s="5"/>
    </row>
    <row r="104" spans="1:3" ht="18">
      <c r="A104" s="8"/>
      <c r="B104" s="44"/>
      <c r="C104" s="72"/>
    </row>
    <row r="105" spans="1:4" ht="18">
      <c r="A105" s="8"/>
      <c r="B105" s="44" t="s">
        <v>58</v>
      </c>
      <c r="C105" s="22">
        <f>C87-C92</f>
        <v>18619.616</v>
      </c>
      <c r="D105" s="45"/>
    </row>
    <row r="106" spans="1:3" ht="18.75">
      <c r="A106" s="8"/>
      <c r="B106" s="73"/>
      <c r="C106" s="72"/>
    </row>
    <row r="107" ht="49.5" customHeight="1"/>
    <row r="108" spans="2:4" ht="15">
      <c r="B108" s="152" t="s">
        <v>0</v>
      </c>
      <c r="C108" s="152"/>
      <c r="D108" s="152"/>
    </row>
    <row r="109" spans="2:4" ht="15">
      <c r="B109" s="153" t="s">
        <v>1</v>
      </c>
      <c r="C109" s="153"/>
      <c r="D109" s="1"/>
    </row>
    <row r="110" spans="2:4" ht="18.75">
      <c r="B110" s="154" t="s">
        <v>59</v>
      </c>
      <c r="C110" s="154"/>
      <c r="D110" s="154"/>
    </row>
    <row r="111" spans="2:4" ht="15.75">
      <c r="B111" s="155" t="s">
        <v>3</v>
      </c>
      <c r="C111" s="155"/>
      <c r="D111" s="155"/>
    </row>
    <row r="112" spans="2:4" ht="12.75">
      <c r="B112" s="3"/>
      <c r="C112" s="4"/>
      <c r="D112" s="5"/>
    </row>
    <row r="113" spans="2:4" ht="14.25">
      <c r="B113" s="6"/>
      <c r="C113" s="7"/>
      <c r="D113" s="5"/>
    </row>
    <row r="114" spans="1:4" ht="15">
      <c r="A114" s="8"/>
      <c r="B114" s="46" t="s">
        <v>4</v>
      </c>
      <c r="C114" s="47">
        <v>444.28</v>
      </c>
      <c r="D114" s="5"/>
    </row>
    <row r="115" spans="1:4" ht="12.75">
      <c r="A115" s="8"/>
      <c r="B115" s="48" t="s">
        <v>24</v>
      </c>
      <c r="C115" s="49">
        <v>4.28</v>
      </c>
      <c r="D115" s="13"/>
    </row>
    <row r="116" spans="1:4" ht="12.75">
      <c r="A116" s="8"/>
      <c r="B116" s="50" t="s">
        <v>6</v>
      </c>
      <c r="C116" s="49">
        <v>7.34</v>
      </c>
      <c r="D116" s="13"/>
    </row>
    <row r="117" spans="1:4" ht="18.75">
      <c r="A117" s="8"/>
      <c r="B117" s="16" t="s">
        <v>7</v>
      </c>
      <c r="C117" s="51">
        <v>2616.7</v>
      </c>
      <c r="D117" s="13"/>
    </row>
    <row r="118" spans="1:4" ht="18.75">
      <c r="A118" s="18">
        <v>1</v>
      </c>
      <c r="B118" s="19" t="s">
        <v>25</v>
      </c>
      <c r="C118" s="51">
        <f>C119+C120</f>
        <v>67137.91</v>
      </c>
      <c r="D118" s="5"/>
    </row>
    <row r="119" spans="1:4" ht="15">
      <c r="A119" s="18"/>
      <c r="B119" s="23" t="s">
        <v>26</v>
      </c>
      <c r="C119" s="24">
        <f>23357+39121.71</f>
        <v>62478.71</v>
      </c>
      <c r="D119" s="5"/>
    </row>
    <row r="120" spans="1:4" ht="15">
      <c r="A120" s="18"/>
      <c r="B120" s="23" t="s">
        <v>27</v>
      </c>
      <c r="C120" s="24">
        <v>4659.2</v>
      </c>
      <c r="D120" s="5"/>
    </row>
    <row r="121" spans="1:4" ht="18">
      <c r="A121" s="18">
        <v>2</v>
      </c>
      <c r="B121" s="19" t="s">
        <v>28</v>
      </c>
      <c r="C121" s="20">
        <f>C122+C123</f>
        <v>63350.04</v>
      </c>
      <c r="D121" s="5"/>
    </row>
    <row r="122" spans="1:4" ht="15.75">
      <c r="A122" s="18" t="s">
        <v>29</v>
      </c>
      <c r="B122" s="52" t="s">
        <v>30</v>
      </c>
      <c r="C122" s="35">
        <f>22102.64+36706.14</f>
        <v>58808.78</v>
      </c>
      <c r="D122" s="5"/>
    </row>
    <row r="123" spans="1:4" ht="15.75">
      <c r="A123" s="18" t="s">
        <v>31</v>
      </c>
      <c r="B123" s="52" t="s">
        <v>60</v>
      </c>
      <c r="C123" s="35">
        <v>4541.26</v>
      </c>
      <c r="D123" s="5"/>
    </row>
    <row r="124" spans="1:4" ht="36">
      <c r="A124" s="18">
        <v>5</v>
      </c>
      <c r="B124" s="53" t="s">
        <v>12</v>
      </c>
      <c r="C124" s="74">
        <f>C125+C127</f>
        <v>40492.5165</v>
      </c>
      <c r="D124" s="5"/>
    </row>
    <row r="125" spans="1:4" ht="18.75">
      <c r="A125" s="18"/>
      <c r="B125" s="55" t="s">
        <v>32</v>
      </c>
      <c r="C125" s="56">
        <f>C126</f>
        <v>5033.6</v>
      </c>
      <c r="D125" s="5"/>
    </row>
    <row r="126" spans="1:4" ht="15">
      <c r="A126" s="18" t="s">
        <v>33</v>
      </c>
      <c r="B126" s="57" t="s">
        <v>34</v>
      </c>
      <c r="C126" s="58">
        <f>242*20.8</f>
        <v>5033.6</v>
      </c>
      <c r="D126" s="5"/>
    </row>
    <row r="127" spans="1:4" ht="18.75">
      <c r="A127" s="18" t="s">
        <v>35</v>
      </c>
      <c r="B127" s="55" t="s">
        <v>36</v>
      </c>
      <c r="C127" s="56">
        <f>C128+C129+C130+C131+C132+C133</f>
        <v>35458.9165</v>
      </c>
      <c r="D127" s="5"/>
    </row>
    <row r="128" spans="1:4" ht="38.25">
      <c r="A128" s="31" t="s">
        <v>37</v>
      </c>
      <c r="B128" s="32" t="s">
        <v>14</v>
      </c>
      <c r="C128" s="59">
        <v>10765.54</v>
      </c>
      <c r="D128" s="5"/>
    </row>
    <row r="129" spans="1:4" ht="12.75">
      <c r="A129" s="18" t="s">
        <v>38</v>
      </c>
      <c r="B129" s="60" t="s">
        <v>39</v>
      </c>
      <c r="C129" s="61">
        <v>62.59</v>
      </c>
      <c r="D129" s="5"/>
    </row>
    <row r="130" spans="1:4" ht="12.75">
      <c r="A130" s="18" t="s">
        <v>40</v>
      </c>
      <c r="B130" s="62" t="s">
        <v>41</v>
      </c>
      <c r="C130" s="61">
        <v>1406.16</v>
      </c>
      <c r="D130" s="5"/>
    </row>
    <row r="131" spans="1:4" ht="12.75">
      <c r="A131" s="31" t="s">
        <v>42</v>
      </c>
      <c r="B131" s="60" t="s">
        <v>61</v>
      </c>
      <c r="C131" s="61">
        <f>2*230*12</f>
        <v>5520</v>
      </c>
      <c r="D131" s="5"/>
    </row>
    <row r="132" spans="1:3" ht="12.75">
      <c r="A132" s="31" t="s">
        <v>43</v>
      </c>
      <c r="B132" s="60" t="s">
        <v>44</v>
      </c>
      <c r="C132" s="61">
        <f>C119*0.15</f>
        <v>9371.806499999999</v>
      </c>
    </row>
    <row r="133" spans="1:3" ht="12.75">
      <c r="A133" s="18" t="s">
        <v>45</v>
      </c>
      <c r="B133" s="60" t="s">
        <v>46</v>
      </c>
      <c r="C133" s="61">
        <f>C135+C136+C137+C138</f>
        <v>8332.82</v>
      </c>
    </row>
    <row r="134" spans="1:3" ht="12.75">
      <c r="A134" s="18"/>
      <c r="B134" s="63" t="s">
        <v>47</v>
      </c>
      <c r="C134" s="61"/>
    </row>
    <row r="135" spans="1:3" ht="36">
      <c r="A135" s="18"/>
      <c r="B135" s="66" t="s">
        <v>62</v>
      </c>
      <c r="C135" s="41">
        <f>5452.53+369</f>
        <v>5821.53</v>
      </c>
    </row>
    <row r="136" spans="1:4" ht="12.75">
      <c r="A136" s="8"/>
      <c r="B136" s="66" t="s">
        <v>63</v>
      </c>
      <c r="C136" s="71">
        <v>333.33</v>
      </c>
      <c r="D136" s="65"/>
    </row>
    <row r="137" spans="1:4" ht="24">
      <c r="A137" s="8"/>
      <c r="B137" s="40" t="s">
        <v>64</v>
      </c>
      <c r="C137" s="71">
        <v>497.06</v>
      </c>
      <c r="D137" s="65"/>
    </row>
    <row r="138" spans="1:4" ht="24">
      <c r="A138" s="8"/>
      <c r="B138" s="40" t="s">
        <v>65</v>
      </c>
      <c r="C138" s="71">
        <v>1680.9</v>
      </c>
      <c r="D138" s="65"/>
    </row>
    <row r="139" spans="1:4" ht="30">
      <c r="A139" s="8"/>
      <c r="B139" s="68" t="s">
        <v>50</v>
      </c>
      <c r="C139" s="69">
        <f>C121-C124</f>
        <v>22857.523500000003</v>
      </c>
      <c r="D139" s="65"/>
    </row>
    <row r="140" spans="1:4" ht="12.75">
      <c r="A140" s="8"/>
      <c r="B140" s="70"/>
      <c r="C140" s="67"/>
      <c r="D140" s="65"/>
    </row>
    <row r="141" spans="1:3" ht="30">
      <c r="A141" s="8"/>
      <c r="B141" s="68" t="s">
        <v>51</v>
      </c>
      <c r="C141" s="69">
        <f>C121-(C117+C118)</f>
        <v>-6404.57</v>
      </c>
    </row>
    <row r="142" spans="1:3" ht="15.75">
      <c r="A142" s="8"/>
      <c r="B142" s="68" t="s">
        <v>52</v>
      </c>
      <c r="C142" s="69">
        <v>-6375.02</v>
      </c>
    </row>
    <row r="143" spans="1:3" ht="15.75">
      <c r="A143" s="8"/>
      <c r="B143" s="68" t="s">
        <v>53</v>
      </c>
      <c r="C143" s="69">
        <v>-29.55</v>
      </c>
    </row>
    <row r="144" ht="53.25" customHeight="1"/>
    <row r="145" spans="2:4" ht="15">
      <c r="B145" s="152" t="s">
        <v>0</v>
      </c>
      <c r="C145" s="152"/>
      <c r="D145" s="152"/>
    </row>
    <row r="146" spans="2:4" ht="15">
      <c r="B146" s="153" t="s">
        <v>1</v>
      </c>
      <c r="C146" s="153"/>
      <c r="D146" s="1"/>
    </row>
    <row r="147" spans="2:4" ht="18.75">
      <c r="B147" s="154" t="s">
        <v>66</v>
      </c>
      <c r="C147" s="154"/>
      <c r="D147" s="154"/>
    </row>
    <row r="148" spans="2:4" ht="15.75">
      <c r="B148" s="155" t="s">
        <v>3</v>
      </c>
      <c r="C148" s="155"/>
      <c r="D148" s="155"/>
    </row>
    <row r="149" spans="2:4" ht="12.75">
      <c r="B149" s="3"/>
      <c r="C149" s="4"/>
      <c r="D149" s="5"/>
    </row>
    <row r="150" spans="2:4" ht="14.25">
      <c r="B150" s="6"/>
      <c r="C150" s="7"/>
      <c r="D150" s="5"/>
    </row>
    <row r="151" spans="1:4" ht="15.75">
      <c r="A151" s="8"/>
      <c r="B151" s="9" t="s">
        <v>4</v>
      </c>
      <c r="C151" s="10">
        <v>593.35</v>
      </c>
      <c r="D151" s="5"/>
    </row>
    <row r="152" spans="1:4" ht="15">
      <c r="A152" s="8"/>
      <c r="B152" s="11" t="s">
        <v>5</v>
      </c>
      <c r="C152" s="12">
        <v>3.2</v>
      </c>
      <c r="D152" s="13"/>
    </row>
    <row r="153" spans="1:4" ht="15">
      <c r="A153" s="8"/>
      <c r="B153" s="14" t="s">
        <v>6</v>
      </c>
      <c r="C153" s="15">
        <v>5.49</v>
      </c>
      <c r="D153" s="13"/>
    </row>
    <row r="154" spans="1:4" ht="18.75">
      <c r="A154" s="8"/>
      <c r="B154" s="16" t="s">
        <v>7</v>
      </c>
      <c r="C154" s="17">
        <f>6860.56+11749.04</f>
        <v>18609.600000000002</v>
      </c>
      <c r="D154" s="13"/>
    </row>
    <row r="155" spans="1:4" ht="18">
      <c r="A155" s="18">
        <v>1</v>
      </c>
      <c r="B155" s="19" t="s">
        <v>8</v>
      </c>
      <c r="C155" s="20">
        <f>22782.72+39086.76</f>
        <v>61869.48</v>
      </c>
      <c r="D155" s="5"/>
    </row>
    <row r="156" spans="1:4" ht="18">
      <c r="A156" s="18">
        <v>2</v>
      </c>
      <c r="B156" s="21" t="s">
        <v>9</v>
      </c>
      <c r="C156" s="22">
        <f>(C154+C155)-C158</f>
        <v>60039.14</v>
      </c>
      <c r="D156" s="5"/>
    </row>
    <row r="157" spans="1:4" ht="15">
      <c r="A157" s="18">
        <v>3</v>
      </c>
      <c r="B157" s="23" t="s">
        <v>10</v>
      </c>
      <c r="C157" s="24"/>
      <c r="D157" s="5"/>
    </row>
    <row r="158" spans="1:4" ht="15">
      <c r="A158" s="18"/>
      <c r="B158" s="25" t="s">
        <v>11</v>
      </c>
      <c r="C158" s="24">
        <f>7530.31+12909.63</f>
        <v>20439.94</v>
      </c>
      <c r="D158" s="5"/>
    </row>
    <row r="159" spans="1:4" ht="15">
      <c r="A159" s="26"/>
      <c r="B159" s="27"/>
      <c r="C159" s="28"/>
      <c r="D159" s="5"/>
    </row>
    <row r="160" spans="1:4" ht="15">
      <c r="A160" s="26"/>
      <c r="B160" s="27"/>
      <c r="C160" s="28"/>
      <c r="D160" s="5"/>
    </row>
    <row r="161" spans="1:4" ht="31.5">
      <c r="A161" s="18">
        <v>4</v>
      </c>
      <c r="B161" s="29" t="s">
        <v>12</v>
      </c>
      <c r="C161" s="30">
        <f>C162+C163+C164+C165+C166+C167</f>
        <v>90240.37199999999</v>
      </c>
      <c r="D161" s="5"/>
    </row>
    <row r="162" spans="1:4" ht="39">
      <c r="A162" s="31" t="s">
        <v>13</v>
      </c>
      <c r="B162" s="32" t="s">
        <v>14</v>
      </c>
      <c r="C162" s="33">
        <v>2505.59</v>
      </c>
      <c r="D162" s="5"/>
    </row>
    <row r="163" spans="1:4" ht="15.75">
      <c r="A163" s="18" t="s">
        <v>67</v>
      </c>
      <c r="B163" s="75" t="s">
        <v>68</v>
      </c>
      <c r="C163" s="35">
        <v>1721.43</v>
      </c>
      <c r="D163" s="5"/>
    </row>
    <row r="164" spans="1:4" ht="15.75">
      <c r="A164" s="18" t="s">
        <v>15</v>
      </c>
      <c r="B164" s="75" t="s">
        <v>69</v>
      </c>
      <c r="C164" s="35">
        <v>83.83</v>
      </c>
      <c r="D164" s="5"/>
    </row>
    <row r="165" spans="1:4" ht="15.75">
      <c r="A165" s="18" t="s">
        <v>18</v>
      </c>
      <c r="B165" s="76" t="s">
        <v>70</v>
      </c>
      <c r="C165" s="37">
        <f>2*230*12</f>
        <v>5520</v>
      </c>
      <c r="D165" s="5"/>
    </row>
    <row r="166" spans="1:4" ht="15.75">
      <c r="A166" s="18"/>
      <c r="B166" s="77" t="s">
        <v>71</v>
      </c>
      <c r="C166" s="39">
        <f>C155*0.15</f>
        <v>9280.422</v>
      </c>
      <c r="D166" s="5"/>
    </row>
    <row r="167" spans="1:4" ht="15.75">
      <c r="A167" s="8">
        <v>5</v>
      </c>
      <c r="B167" s="75" t="s">
        <v>72</v>
      </c>
      <c r="C167" s="35">
        <f>C168+C169+C170</f>
        <v>71129.09999999999</v>
      </c>
      <c r="D167" s="5"/>
    </row>
    <row r="168" spans="1:4" ht="12.75">
      <c r="A168" s="8"/>
      <c r="B168" s="66" t="s">
        <v>73</v>
      </c>
      <c r="C168" s="71">
        <f>566.53+1664.42</f>
        <v>2230.95</v>
      </c>
      <c r="D168" s="5"/>
    </row>
    <row r="169" spans="1:4" ht="12.75">
      <c r="A169" s="8"/>
      <c r="B169" s="40" t="s">
        <v>49</v>
      </c>
      <c r="C169" s="71">
        <v>724.84</v>
      </c>
      <c r="D169" s="5"/>
    </row>
    <row r="170" spans="1:4" ht="24">
      <c r="A170" s="8"/>
      <c r="B170" s="40" t="s">
        <v>74</v>
      </c>
      <c r="C170" s="71">
        <v>68173.31</v>
      </c>
      <c r="D170" s="5"/>
    </row>
    <row r="171" spans="1:3" ht="18">
      <c r="A171" s="8"/>
      <c r="B171" s="44" t="s">
        <v>75</v>
      </c>
      <c r="C171" s="72">
        <v>18293.71</v>
      </c>
    </row>
    <row r="172" spans="1:4" ht="18">
      <c r="A172" s="8"/>
      <c r="B172" s="44" t="s">
        <v>22</v>
      </c>
      <c r="C172" s="22">
        <f>C156-C161</f>
        <v>-30201.23199999999</v>
      </c>
      <c r="D172" s="45"/>
    </row>
    <row r="173" spans="1:3" ht="18.75">
      <c r="A173" s="8"/>
      <c r="B173" s="73" t="s">
        <v>76</v>
      </c>
      <c r="C173" s="72">
        <f>SUM(C171:C172)</f>
        <v>-11907.52199999999</v>
      </c>
    </row>
    <row r="174" ht="54" customHeight="1"/>
    <row r="175" spans="2:4" ht="15">
      <c r="B175" s="152" t="s">
        <v>0</v>
      </c>
      <c r="C175" s="152"/>
      <c r="D175" s="152"/>
    </row>
    <row r="176" spans="2:4" ht="15">
      <c r="B176" s="153" t="s">
        <v>1</v>
      </c>
      <c r="C176" s="153"/>
      <c r="D176" s="1"/>
    </row>
    <row r="177" spans="2:4" ht="18.75">
      <c r="B177" s="154" t="s">
        <v>77</v>
      </c>
      <c r="C177" s="154"/>
      <c r="D177" s="154"/>
    </row>
    <row r="178" spans="2:4" ht="15.75">
      <c r="B178" s="155" t="s">
        <v>3</v>
      </c>
      <c r="C178" s="155"/>
      <c r="D178" s="155"/>
    </row>
    <row r="179" spans="2:4" ht="12.75">
      <c r="B179" s="3"/>
      <c r="C179" s="4"/>
      <c r="D179" s="5"/>
    </row>
    <row r="180" spans="2:4" ht="14.25">
      <c r="B180" s="6"/>
      <c r="C180" s="7"/>
      <c r="D180" s="5"/>
    </row>
    <row r="181" spans="1:4" ht="15.75">
      <c r="A181" s="8"/>
      <c r="B181" s="9" t="s">
        <v>4</v>
      </c>
      <c r="C181" s="10">
        <v>600.3</v>
      </c>
      <c r="D181" s="5"/>
    </row>
    <row r="182" spans="1:4" ht="15">
      <c r="A182" s="8"/>
      <c r="B182" s="11" t="s">
        <v>5</v>
      </c>
      <c r="C182" s="12">
        <v>3.74</v>
      </c>
      <c r="D182" s="13"/>
    </row>
    <row r="183" spans="1:4" ht="15">
      <c r="A183" s="8"/>
      <c r="B183" s="14" t="s">
        <v>6</v>
      </c>
      <c r="C183" s="15">
        <v>6.42</v>
      </c>
      <c r="D183" s="13"/>
    </row>
    <row r="184" spans="1:4" ht="18.75">
      <c r="A184" s="8"/>
      <c r="B184" s="16" t="s">
        <v>7</v>
      </c>
      <c r="C184" s="17">
        <f>11602.57+19872.67</f>
        <v>31475.239999999998</v>
      </c>
      <c r="D184" s="13"/>
    </row>
    <row r="185" spans="1:4" ht="18">
      <c r="A185" s="18">
        <v>1</v>
      </c>
      <c r="B185" s="19" t="s">
        <v>8</v>
      </c>
      <c r="C185" s="20">
        <f>26895.51+46168.17</f>
        <v>73063.68</v>
      </c>
      <c r="D185" s="5"/>
    </row>
    <row r="186" spans="1:4" ht="18">
      <c r="A186" s="18">
        <v>2</v>
      </c>
      <c r="B186" s="21" t="s">
        <v>9</v>
      </c>
      <c r="C186" s="20">
        <f>21347.63+36640.76</f>
        <v>57988.39</v>
      </c>
      <c r="D186" s="5"/>
    </row>
    <row r="187" spans="1:4" ht="15">
      <c r="A187" s="18">
        <v>3</v>
      </c>
      <c r="B187" s="23" t="s">
        <v>10</v>
      </c>
      <c r="C187" s="24"/>
      <c r="D187" s="5"/>
    </row>
    <row r="188" spans="1:4" ht="15">
      <c r="A188" s="18"/>
      <c r="B188" s="25" t="s">
        <v>11</v>
      </c>
      <c r="C188" s="24">
        <f>17150.45+29400.08</f>
        <v>46550.53</v>
      </c>
      <c r="D188" s="5"/>
    </row>
    <row r="189" spans="1:4" ht="15">
      <c r="A189" s="78"/>
      <c r="B189" s="27"/>
      <c r="C189" s="79"/>
      <c r="D189" s="5"/>
    </row>
    <row r="190" spans="1:4" ht="15">
      <c r="A190" s="80"/>
      <c r="B190" s="27"/>
      <c r="C190" s="81"/>
      <c r="D190" s="5"/>
    </row>
    <row r="191" spans="1:4" ht="31.5">
      <c r="A191" s="18">
        <v>4</v>
      </c>
      <c r="B191" s="29" t="s">
        <v>12</v>
      </c>
      <c r="C191" s="56">
        <f>C192+C193+C194+C195+C197+C198+C199+C200</f>
        <v>40927.662</v>
      </c>
      <c r="D191" s="5"/>
    </row>
    <row r="192" spans="1:4" ht="39">
      <c r="A192" s="31" t="s">
        <v>13</v>
      </c>
      <c r="B192" s="32" t="s">
        <v>14</v>
      </c>
      <c r="C192" s="33">
        <v>8929.94</v>
      </c>
      <c r="D192" s="5"/>
    </row>
    <row r="193" spans="1:4" ht="15.75">
      <c r="A193" s="18" t="s">
        <v>67</v>
      </c>
      <c r="B193" s="75" t="s">
        <v>78</v>
      </c>
      <c r="C193" s="35">
        <v>6029.19</v>
      </c>
      <c r="D193" s="5"/>
    </row>
    <row r="194" spans="1:4" ht="15.75">
      <c r="A194" s="18" t="s">
        <v>15</v>
      </c>
      <c r="B194" s="75" t="s">
        <v>69</v>
      </c>
      <c r="C194" s="35">
        <v>84.68</v>
      </c>
      <c r="D194" s="5"/>
    </row>
    <row r="195" spans="1:4" ht="15.75">
      <c r="A195" s="18" t="s">
        <v>18</v>
      </c>
      <c r="B195" s="76" t="s">
        <v>79</v>
      </c>
      <c r="C195" s="37">
        <f>3.1*230*12</f>
        <v>8556</v>
      </c>
      <c r="D195" s="5"/>
    </row>
    <row r="196" spans="1:4" ht="15.75">
      <c r="A196" s="18"/>
      <c r="B196" s="36" t="s">
        <v>80</v>
      </c>
      <c r="C196" s="82"/>
      <c r="D196" s="5"/>
    </row>
    <row r="197" spans="1:4" ht="12.75">
      <c r="A197" s="18"/>
      <c r="B197" s="83" t="s">
        <v>81</v>
      </c>
      <c r="C197" s="84">
        <f>762.86+525</f>
        <v>1287.8600000000001</v>
      </c>
      <c r="D197" s="5"/>
    </row>
    <row r="198" spans="1:4" ht="36">
      <c r="A198" s="18"/>
      <c r="B198" s="85" t="s">
        <v>82</v>
      </c>
      <c r="C198" s="84">
        <v>2356.6</v>
      </c>
      <c r="D198" s="5"/>
    </row>
    <row r="199" spans="1:4" ht="15.75">
      <c r="A199" s="18"/>
      <c r="B199" s="77" t="s">
        <v>71</v>
      </c>
      <c r="C199" s="39">
        <f>C185*0.15</f>
        <v>10959.551999999998</v>
      </c>
      <c r="D199" s="5"/>
    </row>
    <row r="200" spans="1:4" ht="15.75">
      <c r="A200" s="8">
        <v>5</v>
      </c>
      <c r="B200" s="75" t="s">
        <v>72</v>
      </c>
      <c r="C200" s="35">
        <f>C201+C202+C203+C204+C205</f>
        <v>2723.84</v>
      </c>
      <c r="D200" s="5"/>
    </row>
    <row r="201" spans="1:4" ht="12.75">
      <c r="A201" s="8"/>
      <c r="B201" s="86" t="s">
        <v>83</v>
      </c>
      <c r="C201" s="67">
        <v>901.63</v>
      </c>
      <c r="D201" s="5"/>
    </row>
    <row r="202" spans="1:4" ht="12.75">
      <c r="A202" s="8"/>
      <c r="B202" s="87" t="s">
        <v>84</v>
      </c>
      <c r="C202" s="71">
        <v>1416.7</v>
      </c>
      <c r="D202" s="5"/>
    </row>
    <row r="203" spans="1:4" ht="12.75">
      <c r="A203" s="8"/>
      <c r="B203" s="40" t="s">
        <v>49</v>
      </c>
      <c r="C203" s="71">
        <v>405.51</v>
      </c>
      <c r="D203" s="5"/>
    </row>
    <row r="204" spans="1:4" ht="12.75">
      <c r="A204" s="8"/>
      <c r="B204" s="66"/>
      <c r="C204" s="67"/>
      <c r="D204" s="5"/>
    </row>
    <row r="205" spans="1:4" ht="12.75">
      <c r="A205" s="8"/>
      <c r="B205" s="66"/>
      <c r="C205" s="67"/>
      <c r="D205" s="5"/>
    </row>
    <row r="206" spans="1:4" ht="12.75">
      <c r="A206" s="8"/>
      <c r="B206" s="66"/>
      <c r="C206" s="67"/>
      <c r="D206" s="5"/>
    </row>
    <row r="207" spans="1:3" ht="18">
      <c r="A207" s="8"/>
      <c r="B207" s="44" t="s">
        <v>75</v>
      </c>
      <c r="C207" s="22">
        <v>-54263.88</v>
      </c>
    </row>
    <row r="208" spans="1:4" ht="18">
      <c r="A208" s="8"/>
      <c r="B208" s="44" t="s">
        <v>85</v>
      </c>
      <c r="C208" s="22">
        <f>C186-C191</f>
        <v>17060.728000000003</v>
      </c>
      <c r="D208" s="45"/>
    </row>
    <row r="209" spans="1:3" ht="18.75">
      <c r="A209" s="8"/>
      <c r="B209" s="73" t="s">
        <v>76</v>
      </c>
      <c r="C209" s="72">
        <f>SUM(C207:C208)</f>
        <v>-37203.151999999995</v>
      </c>
    </row>
    <row r="210" ht="51.75" customHeight="1"/>
    <row r="211" spans="2:4" ht="15">
      <c r="B211" s="152" t="s">
        <v>0</v>
      </c>
      <c r="C211" s="152"/>
      <c r="D211" s="152"/>
    </row>
    <row r="212" spans="2:4" ht="15">
      <c r="B212" s="153" t="s">
        <v>1</v>
      </c>
      <c r="C212" s="153"/>
      <c r="D212" s="1"/>
    </row>
    <row r="213" spans="2:4" ht="18.75">
      <c r="B213" s="154" t="s">
        <v>86</v>
      </c>
      <c r="C213" s="154"/>
      <c r="D213" s="154"/>
    </row>
    <row r="214" spans="2:4" ht="15.75">
      <c r="B214" s="155" t="s">
        <v>3</v>
      </c>
      <c r="C214" s="155"/>
      <c r="D214" s="155"/>
    </row>
    <row r="215" spans="2:4" ht="12.75">
      <c r="B215" s="3"/>
      <c r="C215" s="4"/>
      <c r="D215" s="5"/>
    </row>
    <row r="216" spans="2:4" ht="14.25">
      <c r="B216" s="6"/>
      <c r="C216" s="7"/>
      <c r="D216" s="5"/>
    </row>
    <row r="217" spans="1:4" ht="15.75">
      <c r="A217" s="8"/>
      <c r="B217" s="9" t="s">
        <v>4</v>
      </c>
      <c r="C217" s="10">
        <v>569.49</v>
      </c>
      <c r="D217" s="5"/>
    </row>
    <row r="218" spans="1:4" ht="15">
      <c r="A218" s="8"/>
      <c r="B218" s="11" t="s">
        <v>5</v>
      </c>
      <c r="C218" s="12">
        <v>3.2</v>
      </c>
      <c r="D218" s="13"/>
    </row>
    <row r="219" spans="1:4" ht="15">
      <c r="A219" s="8"/>
      <c r="B219" s="14" t="s">
        <v>6</v>
      </c>
      <c r="C219" s="15">
        <v>5.49</v>
      </c>
      <c r="D219" s="13"/>
    </row>
    <row r="220" spans="1:4" ht="18.75">
      <c r="A220" s="8"/>
      <c r="B220" s="16" t="s">
        <v>7</v>
      </c>
      <c r="C220" s="17">
        <f>6931.74+11873.74</f>
        <v>18805.48</v>
      </c>
      <c r="D220" s="13"/>
    </row>
    <row r="221" spans="1:4" ht="18">
      <c r="A221" s="18">
        <v>1</v>
      </c>
      <c r="B221" s="19" t="s">
        <v>8</v>
      </c>
      <c r="C221" s="20">
        <f>21871.41+37523.05</f>
        <v>59394.46000000001</v>
      </c>
      <c r="D221" s="5"/>
    </row>
    <row r="222" spans="1:4" ht="18">
      <c r="A222" s="18">
        <v>2</v>
      </c>
      <c r="B222" s="21" t="s">
        <v>9</v>
      </c>
      <c r="C222" s="22">
        <f>(C220+C221)-C224</f>
        <v>60616.47</v>
      </c>
      <c r="D222" s="5"/>
    </row>
    <row r="223" spans="1:4" ht="15">
      <c r="A223" s="18">
        <v>3</v>
      </c>
      <c r="B223" s="23" t="s">
        <v>10</v>
      </c>
      <c r="C223" s="24"/>
      <c r="D223" s="5"/>
    </row>
    <row r="224" spans="1:4" ht="15">
      <c r="A224" s="18"/>
      <c r="B224" s="25" t="s">
        <v>11</v>
      </c>
      <c r="C224" s="24">
        <f>6476.33+11107.14</f>
        <v>17583.47</v>
      </c>
      <c r="D224" s="5"/>
    </row>
    <row r="225" spans="1:4" ht="15">
      <c r="A225" s="26"/>
      <c r="B225" s="27"/>
      <c r="C225" s="28"/>
      <c r="D225" s="5"/>
    </row>
    <row r="226" spans="1:4" ht="15">
      <c r="A226" s="26"/>
      <c r="B226" s="27"/>
      <c r="C226" s="28"/>
      <c r="D226" s="5"/>
    </row>
    <row r="227" spans="1:4" ht="31.5">
      <c r="A227" s="18">
        <v>4</v>
      </c>
      <c r="B227" s="29" t="s">
        <v>12</v>
      </c>
      <c r="C227" s="30">
        <f>C228+C229+C230+C231+C232+C233</f>
        <v>30516.229</v>
      </c>
      <c r="D227" s="5"/>
    </row>
    <row r="228" spans="1:4" ht="39">
      <c r="A228" s="31" t="s">
        <v>13</v>
      </c>
      <c r="B228" s="32" t="s">
        <v>14</v>
      </c>
      <c r="C228" s="33">
        <v>1325.48</v>
      </c>
      <c r="D228" s="5"/>
    </row>
    <row r="229" spans="1:4" ht="15.75">
      <c r="A229" s="18" t="s">
        <v>15</v>
      </c>
      <c r="B229" s="75" t="s">
        <v>69</v>
      </c>
      <c r="C229" s="35">
        <v>81</v>
      </c>
      <c r="D229" s="5"/>
    </row>
    <row r="230" spans="1:4" ht="26.25">
      <c r="A230" s="18"/>
      <c r="B230" s="88" t="s">
        <v>87</v>
      </c>
      <c r="C230" s="35">
        <v>333.33</v>
      </c>
      <c r="D230" s="5"/>
    </row>
    <row r="231" spans="1:4" ht="15.75">
      <c r="A231" s="18" t="s">
        <v>18</v>
      </c>
      <c r="B231" s="76" t="s">
        <v>88</v>
      </c>
      <c r="C231" s="37">
        <f>3.2*230*12</f>
        <v>8832</v>
      </c>
      <c r="D231" s="5"/>
    </row>
    <row r="232" spans="1:4" ht="15.75">
      <c r="A232" s="18"/>
      <c r="B232" s="77" t="s">
        <v>71</v>
      </c>
      <c r="C232" s="39">
        <f>C221*0.15</f>
        <v>8909.169</v>
      </c>
      <c r="D232" s="5"/>
    </row>
    <row r="233" spans="1:4" ht="15.75">
      <c r="A233" s="8">
        <v>5</v>
      </c>
      <c r="B233" s="75" t="s">
        <v>72</v>
      </c>
      <c r="C233" s="35">
        <f>C234+C235</f>
        <v>11035.25</v>
      </c>
      <c r="D233" s="5"/>
    </row>
    <row r="234" spans="1:4" ht="24">
      <c r="A234" s="8"/>
      <c r="B234" s="66" t="s">
        <v>89</v>
      </c>
      <c r="C234" s="71">
        <v>6565.6</v>
      </c>
      <c r="D234" s="5"/>
    </row>
    <row r="235" spans="1:4" ht="12.75">
      <c r="A235" s="8"/>
      <c r="B235" s="66" t="s">
        <v>90</v>
      </c>
      <c r="C235" s="71">
        <v>4469.65</v>
      </c>
      <c r="D235" s="5"/>
    </row>
    <row r="236" spans="1:4" ht="15.75">
      <c r="A236" s="8"/>
      <c r="B236" s="36"/>
      <c r="C236" s="35"/>
      <c r="D236" s="5"/>
    </row>
    <row r="237" spans="1:3" ht="18">
      <c r="A237" s="8"/>
      <c r="B237" s="44" t="s">
        <v>75</v>
      </c>
      <c r="C237" s="72">
        <v>-4938.04</v>
      </c>
    </row>
    <row r="238" spans="1:4" ht="18">
      <c r="A238" s="8"/>
      <c r="B238" s="44" t="s">
        <v>85</v>
      </c>
      <c r="C238" s="22">
        <f>C222-C227</f>
        <v>30100.241</v>
      </c>
      <c r="D238" s="45"/>
    </row>
    <row r="239" spans="1:3" ht="18.75">
      <c r="A239" s="8"/>
      <c r="B239" s="73" t="s">
        <v>76</v>
      </c>
      <c r="C239" s="72">
        <f>SUM(C237:C238)</f>
        <v>25162.201</v>
      </c>
    </row>
    <row r="240" ht="51.75" customHeight="1"/>
    <row r="241" spans="2:4" ht="15">
      <c r="B241" s="152" t="s">
        <v>0</v>
      </c>
      <c r="C241" s="152"/>
      <c r="D241" s="152"/>
    </row>
    <row r="242" spans="2:4" ht="15">
      <c r="B242" s="153" t="s">
        <v>91</v>
      </c>
      <c r="C242" s="153"/>
      <c r="D242" s="1"/>
    </row>
    <row r="243" spans="2:4" ht="18.75">
      <c r="B243" s="154" t="s">
        <v>92</v>
      </c>
      <c r="C243" s="154"/>
      <c r="D243" s="154"/>
    </row>
    <row r="244" spans="2:4" ht="15.75">
      <c r="B244" s="155" t="s">
        <v>3</v>
      </c>
      <c r="C244" s="155"/>
      <c r="D244" s="155"/>
    </row>
    <row r="245" spans="2:4" ht="14.25">
      <c r="B245" s="6"/>
      <c r="C245" s="7"/>
      <c r="D245" s="5"/>
    </row>
    <row r="246" spans="1:4" ht="15">
      <c r="A246" s="8"/>
      <c r="B246" s="46" t="s">
        <v>4</v>
      </c>
      <c r="C246" s="47">
        <v>1163.34</v>
      </c>
      <c r="D246" s="5"/>
    </row>
    <row r="247" spans="1:4" ht="12.75">
      <c r="A247" s="8"/>
      <c r="B247" s="48" t="s">
        <v>24</v>
      </c>
      <c r="C247" s="49">
        <v>5.33</v>
      </c>
      <c r="D247" s="13"/>
    </row>
    <row r="248" spans="1:4" ht="12.75">
      <c r="A248" s="8"/>
      <c r="B248" s="50" t="s">
        <v>6</v>
      </c>
      <c r="C248" s="49">
        <v>9.16</v>
      </c>
      <c r="D248" s="13"/>
    </row>
    <row r="249" spans="1:4" ht="18.75">
      <c r="A249" s="8"/>
      <c r="B249" s="16" t="s">
        <v>7</v>
      </c>
      <c r="C249" s="51">
        <v>137998.66</v>
      </c>
      <c r="D249" s="13"/>
    </row>
    <row r="250" spans="1:4" ht="18.75">
      <c r="A250" s="18">
        <v>1</v>
      </c>
      <c r="B250" s="19" t="s">
        <v>25</v>
      </c>
      <c r="C250" s="51">
        <f>C251+C252</f>
        <v>349684.97</v>
      </c>
      <c r="D250" s="5"/>
    </row>
    <row r="251" spans="1:4" ht="15">
      <c r="A251" s="18" t="s">
        <v>93</v>
      </c>
      <c r="B251" s="23" t="s">
        <v>94</v>
      </c>
      <c r="C251" s="24">
        <f>74407.21+127874.52</f>
        <v>202281.73</v>
      </c>
      <c r="D251" s="5"/>
    </row>
    <row r="252" spans="1:4" ht="15">
      <c r="A252" s="18" t="s">
        <v>95</v>
      </c>
      <c r="B252" s="23" t="s">
        <v>96</v>
      </c>
      <c r="C252" s="24">
        <f>52080.6+95322.64</f>
        <v>147403.24</v>
      </c>
      <c r="D252" s="5"/>
    </row>
    <row r="253" spans="1:4" ht="18">
      <c r="A253" s="18">
        <v>2</v>
      </c>
      <c r="B253" s="19" t="s">
        <v>28</v>
      </c>
      <c r="C253" s="20">
        <f>C254+C255</f>
        <v>226478.41</v>
      </c>
      <c r="D253" s="13"/>
    </row>
    <row r="254" spans="1:4" ht="15.75">
      <c r="A254" s="18" t="s">
        <v>29</v>
      </c>
      <c r="B254" s="89" t="s">
        <v>97</v>
      </c>
      <c r="C254" s="35">
        <f>53167.87+91366.64</f>
        <v>144534.51</v>
      </c>
      <c r="D254" s="13"/>
    </row>
    <row r="255" spans="1:4" ht="15.75">
      <c r="A255" s="18" t="s">
        <v>31</v>
      </c>
      <c r="B255" s="89" t="s">
        <v>98</v>
      </c>
      <c r="C255" s="35">
        <f>28858.06+53085.84</f>
        <v>81943.9</v>
      </c>
      <c r="D255" s="5"/>
    </row>
    <row r="256" spans="1:4" ht="18">
      <c r="A256" s="18"/>
      <c r="B256" s="90"/>
      <c r="C256" s="20"/>
      <c r="D256" s="13"/>
    </row>
    <row r="257" spans="1:4" ht="36">
      <c r="A257" s="18">
        <v>5</v>
      </c>
      <c r="B257" s="53" t="s">
        <v>12</v>
      </c>
      <c r="C257" s="56">
        <f>C258+C260</f>
        <v>306079.3895</v>
      </c>
      <c r="D257" s="13"/>
    </row>
    <row r="258" spans="1:4" ht="18.75">
      <c r="A258" s="91" t="s">
        <v>33</v>
      </c>
      <c r="B258" s="92" t="s">
        <v>32</v>
      </c>
      <c r="C258" s="56">
        <f>C259</f>
        <v>108085.31999999999</v>
      </c>
      <c r="D258" s="13"/>
    </row>
    <row r="259" spans="1:4" ht="15.75">
      <c r="A259" s="18"/>
      <c r="B259" s="92" t="s">
        <v>99</v>
      </c>
      <c r="C259" s="93">
        <f>1836*58.87</f>
        <v>108085.31999999999</v>
      </c>
      <c r="D259" s="13"/>
    </row>
    <row r="260" spans="1:4" ht="18.75">
      <c r="A260" s="18" t="s">
        <v>35</v>
      </c>
      <c r="B260" s="92" t="s">
        <v>36</v>
      </c>
      <c r="C260" s="56">
        <f>C261+C262+C263+C264+C265+C266+C267</f>
        <v>197994.06949999998</v>
      </c>
      <c r="D260" s="13"/>
    </row>
    <row r="261" spans="1:4" ht="38.25">
      <c r="A261" s="31" t="s">
        <v>37</v>
      </c>
      <c r="B261" s="32" t="s">
        <v>14</v>
      </c>
      <c r="C261" s="61">
        <v>27963.2</v>
      </c>
      <c r="D261" s="5"/>
    </row>
    <row r="262" spans="1:4" ht="12.75">
      <c r="A262" s="18" t="s">
        <v>38</v>
      </c>
      <c r="B262" s="60" t="s">
        <v>39</v>
      </c>
      <c r="C262" s="61">
        <v>59.76</v>
      </c>
      <c r="D262" s="5"/>
    </row>
    <row r="263" spans="1:4" ht="12.75">
      <c r="A263" s="18" t="s">
        <v>100</v>
      </c>
      <c r="B263" s="62" t="s">
        <v>101</v>
      </c>
      <c r="C263" s="61">
        <v>98188.92</v>
      </c>
      <c r="D263" s="5"/>
    </row>
    <row r="264" spans="1:4" ht="12.75">
      <c r="A264" s="18" t="s">
        <v>40</v>
      </c>
      <c r="B264" s="62" t="s">
        <v>41</v>
      </c>
      <c r="C264" s="61">
        <v>16818.12</v>
      </c>
      <c r="D264" s="5"/>
    </row>
    <row r="265" spans="1:4" ht="12.75">
      <c r="A265" s="31" t="s">
        <v>42</v>
      </c>
      <c r="B265" s="60" t="s">
        <v>102</v>
      </c>
      <c r="C265" s="61">
        <f>3.6*230*12</f>
        <v>9936</v>
      </c>
      <c r="D265" s="5"/>
    </row>
    <row r="266" spans="1:4" ht="12.75">
      <c r="A266" s="31" t="s">
        <v>103</v>
      </c>
      <c r="B266" s="60" t="s">
        <v>44</v>
      </c>
      <c r="C266" s="84">
        <f>C251*0.15</f>
        <v>30342.2595</v>
      </c>
      <c r="D266" s="5"/>
    </row>
    <row r="267" spans="1:4" ht="12.75">
      <c r="A267" s="18" t="s">
        <v>104</v>
      </c>
      <c r="B267" s="60" t="s">
        <v>46</v>
      </c>
      <c r="C267" s="61">
        <v>14685.81</v>
      </c>
      <c r="D267" s="13"/>
    </row>
    <row r="268" spans="1:4" ht="30">
      <c r="A268" s="8"/>
      <c r="B268" s="68" t="s">
        <v>105</v>
      </c>
      <c r="C268" s="69">
        <f>C253-C257</f>
        <v>-79600.97949999999</v>
      </c>
      <c r="D268" s="5"/>
    </row>
    <row r="269" spans="1:4" ht="30">
      <c r="A269" s="8"/>
      <c r="B269" s="68" t="s">
        <v>106</v>
      </c>
      <c r="C269" s="69">
        <v>-221797.62</v>
      </c>
      <c r="D269" s="5"/>
    </row>
    <row r="270" spans="1:4" ht="15.75">
      <c r="A270" s="8"/>
      <c r="B270" s="68" t="s">
        <v>76</v>
      </c>
      <c r="C270" s="69">
        <f>SUM(C268:C269)</f>
        <v>-301398.5995</v>
      </c>
      <c r="D270" s="5"/>
    </row>
    <row r="271" spans="1:4" ht="15.75">
      <c r="A271" s="8"/>
      <c r="B271" s="68"/>
      <c r="C271" s="69"/>
      <c r="D271" s="5"/>
    </row>
    <row r="272" spans="1:4" ht="30">
      <c r="A272" s="8"/>
      <c r="B272" s="68" t="s">
        <v>51</v>
      </c>
      <c r="C272" s="69">
        <f>C253-(C249+C250)</f>
        <v>-261205.22</v>
      </c>
      <c r="D272" s="13"/>
    </row>
    <row r="273" spans="1:4" ht="15.75">
      <c r="A273" s="8"/>
      <c r="B273" s="68" t="s">
        <v>52</v>
      </c>
      <c r="C273" s="69">
        <v>-125555.9</v>
      </c>
      <c r="D273" s="5"/>
    </row>
    <row r="274" spans="1:4" ht="15.75">
      <c r="A274" s="8"/>
      <c r="B274" s="68" t="s">
        <v>107</v>
      </c>
      <c r="C274" s="69">
        <v>-135649.32</v>
      </c>
      <c r="D274" s="5"/>
    </row>
    <row r="275" spans="1:3" ht="15.75">
      <c r="A275" s="65"/>
      <c r="B275" s="94"/>
      <c r="C275" s="95"/>
    </row>
    <row r="276" spans="1:2" ht="12.75">
      <c r="A276" s="65"/>
      <c r="B276" t="s">
        <v>108</v>
      </c>
    </row>
    <row r="277" ht="12.75">
      <c r="B277" t="s">
        <v>109</v>
      </c>
    </row>
    <row r="278" spans="2:3" ht="12.75">
      <c r="B278" t="s">
        <v>110</v>
      </c>
      <c r="C278" s="96">
        <f>1836*58.87</f>
        <v>108085.31999999999</v>
      </c>
    </row>
    <row r="279" spans="2:3" ht="12.75">
      <c r="B279" t="s">
        <v>111</v>
      </c>
      <c r="C279" s="97">
        <f>1771*58.87</f>
        <v>104258.76999999999</v>
      </c>
    </row>
    <row r="280" spans="2:3" ht="15">
      <c r="B280" s="98" t="s">
        <v>112</v>
      </c>
      <c r="C280" s="99">
        <f>C278-C279</f>
        <v>3826.550000000003</v>
      </c>
    </row>
    <row r="281" ht="50.25" customHeight="1"/>
    <row r="282" spans="2:4" ht="15">
      <c r="B282" s="152" t="s">
        <v>0</v>
      </c>
      <c r="C282" s="152"/>
      <c r="D282" s="152"/>
    </row>
    <row r="283" spans="2:4" ht="15">
      <c r="B283" s="153" t="s">
        <v>91</v>
      </c>
      <c r="C283" s="153"/>
      <c r="D283" s="1"/>
    </row>
    <row r="284" spans="2:4" ht="18.75">
      <c r="B284" s="154" t="s">
        <v>113</v>
      </c>
      <c r="C284" s="154"/>
      <c r="D284" s="154"/>
    </row>
    <row r="285" spans="2:4" ht="15.75">
      <c r="B285" s="155" t="s">
        <v>3</v>
      </c>
      <c r="C285" s="155"/>
      <c r="D285" s="155"/>
    </row>
    <row r="286" spans="2:4" ht="14.25">
      <c r="B286" s="6"/>
      <c r="C286" s="7"/>
      <c r="D286" s="5"/>
    </row>
    <row r="287" spans="1:4" ht="15">
      <c r="A287" s="8"/>
      <c r="B287" s="46" t="s">
        <v>4</v>
      </c>
      <c r="C287" s="47">
        <v>4517.91</v>
      </c>
      <c r="D287" s="5"/>
    </row>
    <row r="288" spans="1:4" ht="12.75">
      <c r="A288" s="8"/>
      <c r="B288" s="48" t="s">
        <v>24</v>
      </c>
      <c r="C288" s="49">
        <v>5.33</v>
      </c>
      <c r="D288" s="13"/>
    </row>
    <row r="289" spans="1:4" ht="12.75">
      <c r="A289" s="8"/>
      <c r="B289" s="50" t="s">
        <v>6</v>
      </c>
      <c r="C289" s="49">
        <v>9.16</v>
      </c>
      <c r="D289" s="13"/>
    </row>
    <row r="290" spans="1:4" ht="18.75">
      <c r="A290" s="8"/>
      <c r="B290" s="16" t="s">
        <v>7</v>
      </c>
      <c r="C290" s="51">
        <v>677483.93</v>
      </c>
      <c r="D290" s="13"/>
    </row>
    <row r="291" spans="1:4" ht="18.75">
      <c r="A291" s="18">
        <v>1</v>
      </c>
      <c r="B291" s="19" t="s">
        <v>25</v>
      </c>
      <c r="C291" s="51">
        <f>C292+C293+C294+C295+C296+C297</f>
        <v>3144148.25</v>
      </c>
      <c r="D291" s="5"/>
    </row>
    <row r="292" spans="1:4" ht="15">
      <c r="A292" s="18"/>
      <c r="B292" s="23" t="s">
        <v>26</v>
      </c>
      <c r="C292" s="24">
        <f>288977.32+496627.17</f>
        <v>785604.49</v>
      </c>
      <c r="D292" s="5"/>
    </row>
    <row r="293" spans="1:4" ht="15">
      <c r="A293" s="18"/>
      <c r="B293" s="23" t="s">
        <v>114</v>
      </c>
      <c r="C293" s="24">
        <f>144659.66+264743.52</f>
        <v>409403.18000000005</v>
      </c>
      <c r="D293" s="5"/>
    </row>
    <row r="294" spans="1:4" ht="15">
      <c r="A294" s="18"/>
      <c r="B294" s="55" t="s">
        <v>115</v>
      </c>
      <c r="C294" s="24">
        <f>1350665.14+235050.89</f>
        <v>1585716.0299999998</v>
      </c>
      <c r="D294" s="5"/>
    </row>
    <row r="295" spans="1:4" ht="15">
      <c r="A295" s="18"/>
      <c r="B295" s="55" t="s">
        <v>116</v>
      </c>
      <c r="C295" s="24">
        <v>38073.99</v>
      </c>
      <c r="D295" s="5"/>
    </row>
    <row r="296" spans="1:4" ht="15">
      <c r="A296" s="18"/>
      <c r="B296" s="55" t="s">
        <v>117</v>
      </c>
      <c r="C296" s="24">
        <v>291008.17</v>
      </c>
      <c r="D296" s="5"/>
    </row>
    <row r="297" spans="1:4" ht="15">
      <c r="A297" s="18"/>
      <c r="B297" s="55" t="s">
        <v>118</v>
      </c>
      <c r="C297" s="24">
        <v>34342.39</v>
      </c>
      <c r="D297" s="5"/>
    </row>
    <row r="298" spans="1:4" ht="18">
      <c r="A298" s="18">
        <v>2</v>
      </c>
      <c r="B298" s="19" t="s">
        <v>28</v>
      </c>
      <c r="C298" s="20">
        <f>C299+C300+C301+C302+C303+C304</f>
        <v>3082201.33</v>
      </c>
      <c r="D298" s="13"/>
    </row>
    <row r="299" spans="1:4" ht="15.75">
      <c r="A299" s="18" t="s">
        <v>29</v>
      </c>
      <c r="B299" s="52" t="s">
        <v>30</v>
      </c>
      <c r="C299" s="35">
        <f>277124.07+476221.33</f>
        <v>753345.4</v>
      </c>
      <c r="D299" s="13"/>
    </row>
    <row r="300" spans="1:4" ht="15.75">
      <c r="A300" s="18" t="s">
        <v>31</v>
      </c>
      <c r="B300" s="52" t="s">
        <v>119</v>
      </c>
      <c r="C300" s="35">
        <f>138984.97+255974.08</f>
        <v>394959.05</v>
      </c>
      <c r="D300" s="5"/>
    </row>
    <row r="301" spans="1:4" ht="15.75">
      <c r="A301" s="18" t="s">
        <v>120</v>
      </c>
      <c r="B301" s="92" t="s">
        <v>121</v>
      </c>
      <c r="C301" s="35">
        <f>1359090.73+219337.62</f>
        <v>1578428.35</v>
      </c>
      <c r="D301" s="13"/>
    </row>
    <row r="302" spans="1:4" ht="15.75">
      <c r="A302" s="18"/>
      <c r="B302" s="92" t="s">
        <v>122</v>
      </c>
      <c r="C302" s="35">
        <v>36645.73</v>
      </c>
      <c r="D302" s="13"/>
    </row>
    <row r="303" spans="1:4" ht="15.75">
      <c r="A303" s="18"/>
      <c r="B303" s="92" t="s">
        <v>123</v>
      </c>
      <c r="C303" s="35">
        <v>287010.06</v>
      </c>
      <c r="D303" s="13"/>
    </row>
    <row r="304" spans="1:4" ht="15.75">
      <c r="A304" s="18"/>
      <c r="B304" s="92" t="s">
        <v>124</v>
      </c>
      <c r="C304" s="35">
        <v>31812.74</v>
      </c>
      <c r="D304" s="13"/>
    </row>
    <row r="305" spans="1:4" ht="36">
      <c r="A305" s="18">
        <v>5</v>
      </c>
      <c r="B305" s="53" t="s">
        <v>12</v>
      </c>
      <c r="C305" s="54">
        <f>C306+C311</f>
        <v>3154845.5435</v>
      </c>
      <c r="D305" s="13"/>
    </row>
    <row r="306" spans="1:4" ht="18.75">
      <c r="A306" s="18"/>
      <c r="B306" s="55" t="s">
        <v>32</v>
      </c>
      <c r="C306" s="56">
        <f>C307+C308+C309+C310</f>
        <v>2361881.7600000002</v>
      </c>
      <c r="D306" s="13"/>
    </row>
    <row r="307" spans="1:4" ht="15">
      <c r="A307" s="18" t="s">
        <v>33</v>
      </c>
      <c r="B307" s="57" t="s">
        <v>34</v>
      </c>
      <c r="C307" s="58">
        <f>7520*58.87</f>
        <v>442702.39999999997</v>
      </c>
      <c r="D307" s="13"/>
    </row>
    <row r="308" spans="1:4" ht="25.5">
      <c r="A308" s="18" t="s">
        <v>35</v>
      </c>
      <c r="B308" s="57" t="s">
        <v>125</v>
      </c>
      <c r="C308" s="24">
        <v>1590097.2</v>
      </c>
      <c r="D308" s="13"/>
    </row>
    <row r="309" spans="1:4" ht="15">
      <c r="A309" s="31" t="s">
        <v>126</v>
      </c>
      <c r="B309" s="57" t="s">
        <v>127</v>
      </c>
      <c r="C309" s="24">
        <v>291008.17</v>
      </c>
      <c r="D309" s="13"/>
    </row>
    <row r="310" spans="1:4" ht="15">
      <c r="A310" s="18" t="s">
        <v>128</v>
      </c>
      <c r="B310" s="57" t="s">
        <v>129</v>
      </c>
      <c r="C310" s="24">
        <v>38073.99</v>
      </c>
      <c r="D310" s="13"/>
    </row>
    <row r="311" spans="1:4" ht="18.75">
      <c r="A311" s="18" t="s">
        <v>130</v>
      </c>
      <c r="B311" s="55" t="s">
        <v>36</v>
      </c>
      <c r="C311" s="56">
        <f>C312+C313+C314+C315+C316+C317+C318+C319+C320</f>
        <v>792963.7835</v>
      </c>
      <c r="D311" s="13"/>
    </row>
    <row r="312" spans="1:4" ht="38.25">
      <c r="A312" s="31" t="s">
        <v>37</v>
      </c>
      <c r="B312" s="32" t="s">
        <v>14</v>
      </c>
      <c r="C312" s="59">
        <v>173486.89</v>
      </c>
      <c r="D312" s="5"/>
    </row>
    <row r="313" spans="1:4" ht="12.75">
      <c r="A313" s="18" t="s">
        <v>38</v>
      </c>
      <c r="B313" s="60" t="s">
        <v>39</v>
      </c>
      <c r="C313" s="61">
        <v>248.93</v>
      </c>
      <c r="D313" s="5"/>
    </row>
    <row r="314" spans="1:4" ht="12.75">
      <c r="A314" s="18" t="s">
        <v>100</v>
      </c>
      <c r="B314" s="62" t="s">
        <v>101</v>
      </c>
      <c r="C314" s="61">
        <v>128372.38</v>
      </c>
      <c r="D314" s="5"/>
    </row>
    <row r="315" spans="1:4" ht="12.75">
      <c r="A315" s="18" t="s">
        <v>40</v>
      </c>
      <c r="B315" s="62" t="s">
        <v>41</v>
      </c>
      <c r="C315" s="61">
        <v>55844.23</v>
      </c>
      <c r="D315" s="5"/>
    </row>
    <row r="316" spans="1:4" ht="12.75">
      <c r="A316" s="31" t="s">
        <v>42</v>
      </c>
      <c r="B316" s="60" t="s">
        <v>131</v>
      </c>
      <c r="C316" s="61">
        <f>22.2*230*4</f>
        <v>20424</v>
      </c>
      <c r="D316" s="5"/>
    </row>
    <row r="317" spans="1:4" ht="38.25">
      <c r="A317" s="31" t="s">
        <v>43</v>
      </c>
      <c r="B317" s="100" t="s">
        <v>132</v>
      </c>
      <c r="C317" s="61">
        <f>31658.54+1500</f>
        <v>33158.54</v>
      </c>
      <c r="D317" s="5"/>
    </row>
    <row r="318" spans="1:4" ht="25.5">
      <c r="A318" s="31" t="s">
        <v>45</v>
      </c>
      <c r="B318" s="101" t="s">
        <v>133</v>
      </c>
      <c r="C318" s="61">
        <f>7256.5*12</f>
        <v>87078</v>
      </c>
      <c r="D318" s="5"/>
    </row>
    <row r="319" spans="1:4" ht="12.75">
      <c r="A319" s="31" t="s">
        <v>134</v>
      </c>
      <c r="B319" s="60" t="s">
        <v>44</v>
      </c>
      <c r="C319" s="61">
        <f>C292*0.15</f>
        <v>117840.67349999999</v>
      </c>
      <c r="D319" s="5"/>
    </row>
    <row r="320" spans="1:4" ht="12.75">
      <c r="A320" s="18" t="s">
        <v>103</v>
      </c>
      <c r="B320" s="60" t="s">
        <v>46</v>
      </c>
      <c r="C320" s="61">
        <v>176510.14</v>
      </c>
      <c r="D320" s="13"/>
    </row>
    <row r="321" spans="1:4" ht="30">
      <c r="A321" s="8"/>
      <c r="B321" s="68" t="s">
        <v>135</v>
      </c>
      <c r="C321" s="69">
        <f>C298-C305</f>
        <v>-72644.21350000007</v>
      </c>
      <c r="D321" s="5"/>
    </row>
    <row r="322" spans="1:4" ht="15.75">
      <c r="A322" s="8"/>
      <c r="B322" s="68" t="s">
        <v>136</v>
      </c>
      <c r="C322" s="69">
        <v>17587.44</v>
      </c>
      <c r="D322" s="5"/>
    </row>
    <row r="323" spans="1:4" ht="15.75">
      <c r="A323" s="8"/>
      <c r="B323" s="68" t="s">
        <v>76</v>
      </c>
      <c r="C323" s="69">
        <f>C321+C322</f>
        <v>-55056.77350000007</v>
      </c>
      <c r="D323" s="5"/>
    </row>
    <row r="324" spans="1:4" ht="30">
      <c r="A324" s="8"/>
      <c r="B324" s="68" t="s">
        <v>51</v>
      </c>
      <c r="C324" s="69">
        <f>C298-(C290+C291)</f>
        <v>-739430.8500000001</v>
      </c>
      <c r="D324" s="13"/>
    </row>
    <row r="325" spans="1:4" ht="15.75">
      <c r="A325" s="8"/>
      <c r="B325" s="68" t="s">
        <v>52</v>
      </c>
      <c r="C325" s="69">
        <v>-123448.78</v>
      </c>
      <c r="D325" s="5"/>
    </row>
    <row r="326" spans="1:4" ht="15.75">
      <c r="A326" s="8"/>
      <c r="B326" s="68" t="s">
        <v>107</v>
      </c>
      <c r="C326" s="69">
        <v>-80467.35</v>
      </c>
      <c r="D326" s="5"/>
    </row>
    <row r="327" spans="1:3" ht="15.75">
      <c r="A327" s="8"/>
      <c r="B327" s="102" t="s">
        <v>137</v>
      </c>
      <c r="C327" s="103">
        <v>-58036.13</v>
      </c>
    </row>
    <row r="328" spans="1:3" ht="15.75">
      <c r="A328" s="8"/>
      <c r="B328" s="104" t="s">
        <v>138</v>
      </c>
      <c r="C328" s="103">
        <v>-12310.24</v>
      </c>
    </row>
    <row r="329" spans="1:3" ht="15.75">
      <c r="A329" s="8"/>
      <c r="B329" s="105" t="s">
        <v>139</v>
      </c>
      <c r="C329" s="103">
        <v>-64646.62</v>
      </c>
    </row>
    <row r="330" spans="1:3" ht="15.75">
      <c r="A330" s="8"/>
      <c r="B330" s="105" t="s">
        <v>140</v>
      </c>
      <c r="C330" s="35">
        <v>-24628.29</v>
      </c>
    </row>
    <row r="331" spans="1:2" ht="12.75">
      <c r="A331" s="65"/>
      <c r="B331" t="s">
        <v>141</v>
      </c>
    </row>
    <row r="332" ht="12.75">
      <c r="B332" t="s">
        <v>142</v>
      </c>
    </row>
    <row r="333" spans="2:3" ht="12.75">
      <c r="B333" t="s">
        <v>143</v>
      </c>
      <c r="C333" s="96">
        <f>7520*58.87</f>
        <v>442702.39999999997</v>
      </c>
    </row>
    <row r="334" spans="2:3" ht="12.75">
      <c r="B334" t="s">
        <v>144</v>
      </c>
      <c r="C334" s="97">
        <f>7160.04*58.87</f>
        <v>421511.5548</v>
      </c>
    </row>
    <row r="335" spans="2:3" ht="15">
      <c r="B335" s="98" t="s">
        <v>145</v>
      </c>
      <c r="C335" s="99">
        <f>C333-C334</f>
        <v>21190.84519999998</v>
      </c>
    </row>
    <row r="337" ht="12.75">
      <c r="B337" t="s">
        <v>146</v>
      </c>
    </row>
    <row r="338" ht="12.75">
      <c r="B338" t="s">
        <v>147</v>
      </c>
    </row>
    <row r="339" ht="12.75">
      <c r="B339" t="s">
        <v>148</v>
      </c>
    </row>
    <row r="340" ht="12.75">
      <c r="B340" t="s">
        <v>149</v>
      </c>
    </row>
    <row r="341" ht="12.75">
      <c r="B341" t="s">
        <v>150</v>
      </c>
    </row>
    <row r="342" spans="2:3" ht="15">
      <c r="B342" t="s">
        <v>151</v>
      </c>
      <c r="C342" s="106">
        <f>(902.3+207.7)*1432.52</f>
        <v>1590097.2</v>
      </c>
    </row>
    <row r="343" spans="2:3" ht="15">
      <c r="B343" t="s">
        <v>152</v>
      </c>
      <c r="C343" s="28">
        <f>1350665.14+235050.89</f>
        <v>1585716.0299999998</v>
      </c>
    </row>
    <row r="344" spans="2:3" ht="15">
      <c r="B344" s="98" t="s">
        <v>153</v>
      </c>
      <c r="C344" s="99">
        <f>C342-C343</f>
        <v>4381.170000000158</v>
      </c>
    </row>
    <row r="345" ht="54" customHeight="1"/>
    <row r="346" spans="2:4" ht="15">
      <c r="B346" s="152" t="s">
        <v>0</v>
      </c>
      <c r="C346" s="152"/>
      <c r="D346" s="152"/>
    </row>
    <row r="347" spans="2:4" ht="15">
      <c r="B347" s="153" t="s">
        <v>91</v>
      </c>
      <c r="C347" s="153"/>
      <c r="D347" s="1"/>
    </row>
    <row r="348" spans="2:4" ht="18.75">
      <c r="B348" s="154" t="s">
        <v>154</v>
      </c>
      <c r="C348" s="154"/>
      <c r="D348" s="154"/>
    </row>
    <row r="349" spans="2:4" ht="15.75">
      <c r="B349" s="155" t="s">
        <v>3</v>
      </c>
      <c r="C349" s="155"/>
      <c r="D349" s="155"/>
    </row>
    <row r="350" spans="2:4" ht="14.25">
      <c r="B350" s="6"/>
      <c r="C350" s="7"/>
      <c r="D350" s="5"/>
    </row>
    <row r="351" spans="1:4" ht="15">
      <c r="A351" s="8"/>
      <c r="B351" s="46" t="s">
        <v>4</v>
      </c>
      <c r="C351" s="47">
        <v>2983.11</v>
      </c>
      <c r="D351" s="5"/>
    </row>
    <row r="352" spans="1:4" ht="12.75">
      <c r="A352" s="8"/>
      <c r="B352" s="83" t="s">
        <v>155</v>
      </c>
      <c r="C352" s="49">
        <v>5.88</v>
      </c>
      <c r="D352" s="13"/>
    </row>
    <row r="353" spans="1:4" ht="12.75">
      <c r="A353" s="8"/>
      <c r="B353" s="64" t="s">
        <v>156</v>
      </c>
      <c r="C353" s="49">
        <v>10.06</v>
      </c>
      <c r="D353" s="13"/>
    </row>
    <row r="354" spans="1:4" ht="36.75">
      <c r="A354" s="8"/>
      <c r="B354" s="107" t="s">
        <v>157</v>
      </c>
      <c r="C354" s="51">
        <v>159530.73</v>
      </c>
      <c r="D354" s="13"/>
    </row>
    <row r="355" spans="1:4" ht="18.75">
      <c r="A355" s="18">
        <v>1</v>
      </c>
      <c r="B355" s="19" t="s">
        <v>25</v>
      </c>
      <c r="C355" s="51">
        <f>C356+C357</f>
        <v>841663.03</v>
      </c>
      <c r="D355" s="5"/>
    </row>
    <row r="356" spans="1:4" ht="15">
      <c r="A356" s="18" t="s">
        <v>93</v>
      </c>
      <c r="B356" s="23" t="s">
        <v>158</v>
      </c>
      <c r="C356" s="24">
        <f>210490.48+360125.91</f>
        <v>570616.39</v>
      </c>
      <c r="D356" s="5"/>
    </row>
    <row r="357" spans="1:4" ht="15">
      <c r="A357" s="18" t="s">
        <v>95</v>
      </c>
      <c r="B357" s="23" t="s">
        <v>96</v>
      </c>
      <c r="C357" s="24">
        <f>95766.4+175280.24</f>
        <v>271046.64</v>
      </c>
      <c r="D357" s="5"/>
    </row>
    <row r="358" spans="1:4" ht="18">
      <c r="A358" s="18">
        <v>2</v>
      </c>
      <c r="B358" s="19" t="s">
        <v>28</v>
      </c>
      <c r="C358" s="20">
        <f>C359+C360</f>
        <v>797470.1499999999</v>
      </c>
      <c r="D358" s="13"/>
    </row>
    <row r="359" spans="1:4" ht="15.75">
      <c r="A359" s="18" t="s">
        <v>29</v>
      </c>
      <c r="B359" s="108" t="s">
        <v>159</v>
      </c>
      <c r="C359" s="35">
        <f>198151.17+338979.16</f>
        <v>537130.33</v>
      </c>
      <c r="D359" s="13"/>
    </row>
    <row r="360" spans="1:4" ht="15.75">
      <c r="A360" s="18" t="s">
        <v>31</v>
      </c>
      <c r="B360" s="108" t="s">
        <v>160</v>
      </c>
      <c r="C360" s="35">
        <f>91620.85+168718.97</f>
        <v>260339.82</v>
      </c>
      <c r="D360" s="5"/>
    </row>
    <row r="361" spans="1:4" ht="36">
      <c r="A361" s="18">
        <v>5</v>
      </c>
      <c r="B361" s="53" t="s">
        <v>12</v>
      </c>
      <c r="C361" s="54">
        <f>C362+C364</f>
        <v>822580.0985000001</v>
      </c>
      <c r="D361" s="13"/>
    </row>
    <row r="362" spans="1:4" ht="18.75">
      <c r="A362" s="91" t="s">
        <v>33</v>
      </c>
      <c r="B362" s="92" t="s">
        <v>32</v>
      </c>
      <c r="C362" s="56">
        <f>C363</f>
        <v>311186.82</v>
      </c>
      <c r="D362" s="13"/>
    </row>
    <row r="363" spans="1:4" ht="15.75">
      <c r="A363" s="18"/>
      <c r="B363" s="92" t="s">
        <v>99</v>
      </c>
      <c r="C363" s="93">
        <f>5286*58.87</f>
        <v>311186.82</v>
      </c>
      <c r="D363" s="13"/>
    </row>
    <row r="364" spans="1:4" ht="18.75">
      <c r="A364" s="18" t="s">
        <v>35</v>
      </c>
      <c r="B364" s="92" t="s">
        <v>36</v>
      </c>
      <c r="C364" s="56">
        <f>C365+C366+C367+C368+C369+C370+C371+C372</f>
        <v>511393.2785</v>
      </c>
      <c r="D364" s="13"/>
    </row>
    <row r="365" spans="1:4" ht="38.25">
      <c r="A365" s="31" t="s">
        <v>37</v>
      </c>
      <c r="B365" s="32" t="s">
        <v>14</v>
      </c>
      <c r="C365" s="59">
        <v>69055.44</v>
      </c>
      <c r="D365" s="5"/>
    </row>
    <row r="366" spans="1:4" ht="12.75">
      <c r="A366" s="18" t="s">
        <v>38</v>
      </c>
      <c r="B366" s="60" t="s">
        <v>161</v>
      </c>
      <c r="C366" s="61">
        <v>196.82</v>
      </c>
      <c r="D366" s="5"/>
    </row>
    <row r="367" spans="1:4" ht="12.75">
      <c r="A367" s="18" t="s">
        <v>40</v>
      </c>
      <c r="B367" s="62" t="s">
        <v>162</v>
      </c>
      <c r="C367" s="61">
        <f>5877*2.79</f>
        <v>16396.83</v>
      </c>
      <c r="D367" s="5"/>
    </row>
    <row r="368" spans="1:4" ht="12.75">
      <c r="A368" s="31" t="s">
        <v>42</v>
      </c>
      <c r="B368" s="60" t="s">
        <v>163</v>
      </c>
      <c r="C368" s="61">
        <f>14.8*230*12</f>
        <v>40848</v>
      </c>
      <c r="D368" s="5"/>
    </row>
    <row r="369" spans="1:4" ht="12.75">
      <c r="A369" s="31" t="s">
        <v>43</v>
      </c>
      <c r="B369" s="62" t="s">
        <v>164</v>
      </c>
      <c r="C369" s="61">
        <v>64670.88</v>
      </c>
      <c r="D369" s="5"/>
    </row>
    <row r="370" spans="1:4" ht="12.75">
      <c r="A370" s="31"/>
      <c r="B370" s="109" t="s">
        <v>165</v>
      </c>
      <c r="C370" s="61">
        <v>1330</v>
      </c>
      <c r="D370" s="5"/>
    </row>
    <row r="371" spans="1:4" ht="12.75">
      <c r="A371" s="31" t="s">
        <v>103</v>
      </c>
      <c r="B371" s="60" t="s">
        <v>166</v>
      </c>
      <c r="C371" s="61">
        <f>C356*0.15</f>
        <v>85592.4585</v>
      </c>
      <c r="D371" s="5"/>
    </row>
    <row r="372" spans="1:4" ht="12.75">
      <c r="A372" s="18" t="s">
        <v>104</v>
      </c>
      <c r="B372" s="60" t="s">
        <v>167</v>
      </c>
      <c r="C372" s="61">
        <v>233302.85</v>
      </c>
      <c r="D372" s="13"/>
    </row>
    <row r="373" spans="1:4" ht="30">
      <c r="A373" s="8"/>
      <c r="B373" s="68" t="s">
        <v>168</v>
      </c>
      <c r="C373" s="69">
        <f>C358-C361</f>
        <v>-25109.948500000173</v>
      </c>
      <c r="D373" s="5"/>
    </row>
    <row r="374" spans="1:4" ht="30">
      <c r="A374" s="8"/>
      <c r="B374" s="68" t="s">
        <v>169</v>
      </c>
      <c r="C374" s="69">
        <v>299386.32</v>
      </c>
      <c r="D374" s="5"/>
    </row>
    <row r="375" spans="1:4" ht="15.75">
      <c r="A375" s="8"/>
      <c r="B375" s="68" t="s">
        <v>76</v>
      </c>
      <c r="C375" s="69">
        <f>C373+C374</f>
        <v>274276.37149999983</v>
      </c>
      <c r="D375" s="5"/>
    </row>
    <row r="376" spans="1:4" ht="15.75">
      <c r="A376" s="8"/>
      <c r="B376" s="68"/>
      <c r="C376" s="69"/>
      <c r="D376" s="5"/>
    </row>
    <row r="377" spans="1:4" ht="31.5">
      <c r="A377" s="8"/>
      <c r="B377" s="110" t="s">
        <v>170</v>
      </c>
      <c r="C377" s="69">
        <f>C358-(C354+C355)</f>
        <v>-203723.6100000001</v>
      </c>
      <c r="D377" s="13"/>
    </row>
    <row r="378" spans="1:4" ht="15.75">
      <c r="A378" s="8"/>
      <c r="B378" s="68" t="s">
        <v>52</v>
      </c>
      <c r="C378" s="69">
        <v>-107941.13</v>
      </c>
      <c r="D378" s="5"/>
    </row>
    <row r="379" spans="1:4" ht="15.75">
      <c r="A379" s="8"/>
      <c r="B379" s="68" t="s">
        <v>107</v>
      </c>
      <c r="C379" s="69">
        <v>-95782.48</v>
      </c>
      <c r="D379" s="5"/>
    </row>
    <row r="380" spans="1:3" ht="15.75">
      <c r="A380" s="8"/>
      <c r="B380" s="102"/>
      <c r="C380" s="103"/>
    </row>
    <row r="381" spans="1:3" ht="15.75">
      <c r="A381" s="8"/>
      <c r="B381" s="102"/>
      <c r="C381" s="35"/>
    </row>
    <row r="383" ht="12.75">
      <c r="B383" t="s">
        <v>108</v>
      </c>
    </row>
    <row r="384" ht="12.75">
      <c r="B384" t="s">
        <v>171</v>
      </c>
    </row>
    <row r="386" spans="2:3" ht="12.75">
      <c r="B386" t="s">
        <v>172</v>
      </c>
      <c r="C386" s="96">
        <f>5286*58.87</f>
        <v>311186.82</v>
      </c>
    </row>
    <row r="387" spans="2:3" ht="12.75">
      <c r="B387" t="s">
        <v>173</v>
      </c>
      <c r="C387" s="97">
        <f>4611.46*58.87</f>
        <v>271476.6502</v>
      </c>
    </row>
    <row r="388" spans="2:3" ht="15">
      <c r="B388" s="98" t="s">
        <v>174</v>
      </c>
      <c r="C388" s="99">
        <f>C386-C387</f>
        <v>39710.16980000003</v>
      </c>
    </row>
    <row r="389" ht="55.5" customHeight="1"/>
    <row r="390" spans="2:4" ht="15">
      <c r="B390" s="152" t="s">
        <v>0</v>
      </c>
      <c r="C390" s="152"/>
      <c r="D390" s="152"/>
    </row>
    <row r="391" spans="2:4" ht="15">
      <c r="B391" s="153" t="s">
        <v>1</v>
      </c>
      <c r="C391" s="153"/>
      <c r="D391" s="1"/>
    </row>
    <row r="392" spans="2:4" ht="18.75">
      <c r="B392" s="154" t="s">
        <v>175</v>
      </c>
      <c r="C392" s="154"/>
      <c r="D392" s="154"/>
    </row>
    <row r="393" spans="2:4" ht="15.75">
      <c r="B393" s="155" t="s">
        <v>3</v>
      </c>
      <c r="C393" s="155"/>
      <c r="D393" s="155"/>
    </row>
    <row r="394" spans="2:4" ht="12.75">
      <c r="B394" s="3"/>
      <c r="C394" s="4"/>
      <c r="D394" s="5"/>
    </row>
    <row r="395" spans="2:4" ht="14.25">
      <c r="B395" s="6"/>
      <c r="C395" s="7"/>
      <c r="D395" s="5"/>
    </row>
    <row r="396" spans="1:4" ht="15.75">
      <c r="A396" s="8"/>
      <c r="B396" s="9" t="s">
        <v>4</v>
      </c>
      <c r="C396" s="103">
        <v>223.66</v>
      </c>
      <c r="D396" s="5"/>
    </row>
    <row r="397" spans="1:4" ht="15">
      <c r="A397" s="8"/>
      <c r="B397" s="11" t="s">
        <v>5</v>
      </c>
      <c r="C397" s="12">
        <v>3.2</v>
      </c>
      <c r="D397" s="13"/>
    </row>
    <row r="398" spans="1:4" ht="15">
      <c r="A398" s="8"/>
      <c r="B398" s="14" t="s">
        <v>6</v>
      </c>
      <c r="C398" s="15">
        <v>5.49</v>
      </c>
      <c r="D398" s="13"/>
    </row>
    <row r="399" spans="1:4" ht="18.75">
      <c r="A399" s="8"/>
      <c r="B399" s="16" t="s">
        <v>7</v>
      </c>
      <c r="C399" s="17">
        <f>216.11+356.62</f>
        <v>572.73</v>
      </c>
      <c r="D399" s="13"/>
    </row>
    <row r="400" spans="1:4" ht="18">
      <c r="A400" s="18">
        <v>1</v>
      </c>
      <c r="B400" s="19" t="s">
        <v>8</v>
      </c>
      <c r="C400" s="20">
        <f>8588.52+14734.68</f>
        <v>23323.2</v>
      </c>
      <c r="D400" s="5"/>
    </row>
    <row r="401" spans="1:4" ht="18">
      <c r="A401" s="18">
        <v>2</v>
      </c>
      <c r="B401" s="21" t="s">
        <v>9</v>
      </c>
      <c r="C401" s="22">
        <f>(C399+C400)-C403</f>
        <v>22970.52</v>
      </c>
      <c r="D401" s="5"/>
    </row>
    <row r="402" spans="1:4" ht="15">
      <c r="A402" s="18">
        <v>3</v>
      </c>
      <c r="B402" s="23" t="s">
        <v>10</v>
      </c>
      <c r="C402" s="24"/>
      <c r="D402" s="5"/>
    </row>
    <row r="403" spans="1:4" ht="18.75">
      <c r="A403" s="18"/>
      <c r="B403" s="25" t="s">
        <v>11</v>
      </c>
      <c r="C403" s="51">
        <f>340.75+584.66</f>
        <v>925.41</v>
      </c>
      <c r="D403" s="5"/>
    </row>
    <row r="404" spans="1:4" ht="15">
      <c r="A404" s="26"/>
      <c r="B404" s="27"/>
      <c r="C404" s="28"/>
      <c r="D404" s="5"/>
    </row>
    <row r="405" spans="1:4" ht="15">
      <c r="A405" s="26"/>
      <c r="B405" s="27"/>
      <c r="C405" s="28"/>
      <c r="D405" s="5"/>
    </row>
    <row r="406" spans="1:4" ht="31.5">
      <c r="A406" s="18">
        <v>4</v>
      </c>
      <c r="B406" s="29" t="s">
        <v>12</v>
      </c>
      <c r="C406" s="30">
        <f>C407+C408+C409+C410+C411+C412+C413</f>
        <v>12088.18</v>
      </c>
      <c r="D406" s="5"/>
    </row>
    <row r="407" spans="1:4" ht="39">
      <c r="A407" s="31" t="s">
        <v>13</v>
      </c>
      <c r="B407" s="32" t="s">
        <v>14</v>
      </c>
      <c r="C407" s="33">
        <v>744.44</v>
      </c>
      <c r="D407" s="5"/>
    </row>
    <row r="408" spans="1:4" ht="15.75">
      <c r="A408" s="18"/>
      <c r="B408" s="36" t="s">
        <v>176</v>
      </c>
      <c r="C408" s="33">
        <v>521.73</v>
      </c>
      <c r="D408" s="5"/>
    </row>
    <row r="409" spans="1:4" ht="15.75">
      <c r="A409" s="18" t="s">
        <v>15</v>
      </c>
      <c r="B409" s="75" t="s">
        <v>69</v>
      </c>
      <c r="C409" s="35">
        <v>31.72</v>
      </c>
      <c r="D409" s="5"/>
    </row>
    <row r="410" spans="1:4" ht="15.75">
      <c r="A410" s="18" t="s">
        <v>18</v>
      </c>
      <c r="B410" s="111" t="s">
        <v>177</v>
      </c>
      <c r="C410" s="35">
        <v>2000</v>
      </c>
      <c r="D410" s="5"/>
    </row>
    <row r="411" spans="1:4" ht="15.75">
      <c r="A411" s="18" t="s">
        <v>178</v>
      </c>
      <c r="B411" s="76" t="s">
        <v>179</v>
      </c>
      <c r="C411" s="37">
        <f>1.1*230*12</f>
        <v>3036.0000000000005</v>
      </c>
      <c r="D411" s="5"/>
    </row>
    <row r="412" spans="1:4" ht="15.75">
      <c r="A412" s="8" t="s">
        <v>180</v>
      </c>
      <c r="B412" s="77" t="s">
        <v>71</v>
      </c>
      <c r="C412" s="39">
        <f>C400*0.15</f>
        <v>3498.48</v>
      </c>
      <c r="D412" s="5"/>
    </row>
    <row r="413" spans="1:4" ht="15.75">
      <c r="A413" s="8" t="s">
        <v>181</v>
      </c>
      <c r="B413" s="75" t="s">
        <v>182</v>
      </c>
      <c r="C413" s="35">
        <v>2255.81</v>
      </c>
      <c r="D413" s="5"/>
    </row>
    <row r="414" spans="1:4" ht="15.75">
      <c r="A414" s="8"/>
      <c r="B414" s="75"/>
      <c r="C414" s="35"/>
      <c r="D414" s="5"/>
    </row>
    <row r="415" spans="1:3" ht="18">
      <c r="A415" s="8"/>
      <c r="B415" s="44" t="s">
        <v>75</v>
      </c>
      <c r="C415" s="72">
        <v>-2149.37</v>
      </c>
    </row>
    <row r="416" spans="1:4" ht="18">
      <c r="A416" s="8"/>
      <c r="B416" s="44" t="s">
        <v>183</v>
      </c>
      <c r="C416" s="22">
        <f>C401-C406</f>
        <v>10882.34</v>
      </c>
      <c r="D416" s="45"/>
    </row>
    <row r="417" spans="1:3" ht="18.75">
      <c r="A417" s="8"/>
      <c r="B417" s="73" t="s">
        <v>76</v>
      </c>
      <c r="C417" s="72">
        <f>SUM(C415:C416)</f>
        <v>8732.970000000001</v>
      </c>
    </row>
    <row r="418" ht="53.25" customHeight="1"/>
    <row r="419" spans="2:4" ht="15">
      <c r="B419" s="152" t="s">
        <v>0</v>
      </c>
      <c r="C419" s="152"/>
      <c r="D419" s="152"/>
    </row>
    <row r="420" spans="2:4" ht="15">
      <c r="B420" s="153" t="s">
        <v>91</v>
      </c>
      <c r="C420" s="153"/>
      <c r="D420" s="1"/>
    </row>
    <row r="421" spans="2:4" ht="18.75">
      <c r="B421" s="154" t="s">
        <v>184</v>
      </c>
      <c r="C421" s="154"/>
      <c r="D421" s="154"/>
    </row>
    <row r="422" spans="2:4" ht="15.75">
      <c r="B422" s="155" t="s">
        <v>3</v>
      </c>
      <c r="C422" s="155"/>
      <c r="D422" s="155"/>
    </row>
    <row r="423" spans="2:4" ht="14.25">
      <c r="B423" s="6"/>
      <c r="C423" s="7"/>
      <c r="D423" s="5"/>
    </row>
    <row r="424" spans="1:4" ht="15">
      <c r="A424" s="8"/>
      <c r="B424" s="46" t="s">
        <v>4</v>
      </c>
      <c r="C424" s="47">
        <v>501.8</v>
      </c>
      <c r="D424" s="5"/>
    </row>
    <row r="425" spans="1:4" ht="12.75">
      <c r="A425" s="8"/>
      <c r="B425" s="83" t="s">
        <v>155</v>
      </c>
      <c r="C425" s="49">
        <v>3.74</v>
      </c>
      <c r="D425" s="13"/>
    </row>
    <row r="426" spans="1:4" ht="12.75">
      <c r="A426" s="8"/>
      <c r="B426" s="64" t="s">
        <v>156</v>
      </c>
      <c r="C426" s="49">
        <v>6.42</v>
      </c>
      <c r="D426" s="13"/>
    </row>
    <row r="427" spans="1:4" ht="36.75">
      <c r="A427" s="8"/>
      <c r="B427" s="107" t="s">
        <v>157</v>
      </c>
      <c r="C427" s="51">
        <v>3454.02</v>
      </c>
      <c r="D427" s="13"/>
    </row>
    <row r="428" spans="1:4" ht="18.75">
      <c r="A428" s="18">
        <v>1</v>
      </c>
      <c r="B428" s="19" t="s">
        <v>25</v>
      </c>
      <c r="C428" s="51">
        <f>C429+C430</f>
        <v>93460.77</v>
      </c>
      <c r="D428" s="5"/>
    </row>
    <row r="429" spans="1:4" ht="15">
      <c r="A429" s="18" t="s">
        <v>93</v>
      </c>
      <c r="B429" s="23" t="s">
        <v>158</v>
      </c>
      <c r="C429" s="24">
        <f>22520.88+38658.72</f>
        <v>61179.600000000006</v>
      </c>
      <c r="D429" s="5"/>
    </row>
    <row r="430" spans="1:4" ht="15">
      <c r="A430" s="18" t="s">
        <v>95</v>
      </c>
      <c r="B430" s="23" t="s">
        <v>96</v>
      </c>
      <c r="C430" s="24">
        <f>11406.14+20875.03</f>
        <v>32281.17</v>
      </c>
      <c r="D430" s="5"/>
    </row>
    <row r="431" spans="1:4" ht="18">
      <c r="A431" s="18">
        <v>2</v>
      </c>
      <c r="B431" s="19" t="s">
        <v>28</v>
      </c>
      <c r="C431" s="20">
        <f>C432+C433</f>
        <v>92592.62</v>
      </c>
      <c r="D431" s="13"/>
    </row>
    <row r="432" spans="1:4" ht="15.75">
      <c r="A432" s="18" t="s">
        <v>29</v>
      </c>
      <c r="B432" s="108" t="s">
        <v>159</v>
      </c>
      <c r="C432" s="35">
        <f>22163.56+38044.11</f>
        <v>60207.67</v>
      </c>
      <c r="D432" s="13"/>
    </row>
    <row r="433" spans="1:4" ht="15.75">
      <c r="A433" s="18" t="s">
        <v>31</v>
      </c>
      <c r="B433" s="108" t="s">
        <v>160</v>
      </c>
      <c r="C433" s="35">
        <f>11427.71+20957.24</f>
        <v>32384.95</v>
      </c>
      <c r="D433" s="5"/>
    </row>
    <row r="434" spans="1:4" ht="36">
      <c r="A434" s="18">
        <v>5</v>
      </c>
      <c r="B434" s="53" t="s">
        <v>12</v>
      </c>
      <c r="C434" s="54">
        <f>C435+C437</f>
        <v>98528.63999999998</v>
      </c>
      <c r="D434" s="13"/>
    </row>
    <row r="435" spans="1:4" ht="18.75">
      <c r="A435" s="91" t="s">
        <v>33</v>
      </c>
      <c r="B435" s="92" t="s">
        <v>32</v>
      </c>
      <c r="C435" s="56">
        <f>C436</f>
        <v>70173.04</v>
      </c>
      <c r="D435" s="13"/>
    </row>
    <row r="436" spans="1:4" ht="15.75">
      <c r="A436" s="18"/>
      <c r="B436" s="92" t="s">
        <v>99</v>
      </c>
      <c r="C436" s="93">
        <f>1192*58.87</f>
        <v>70173.04</v>
      </c>
      <c r="D436" s="13"/>
    </row>
    <row r="437" spans="1:4" ht="18.75">
      <c r="A437" s="18" t="s">
        <v>35</v>
      </c>
      <c r="B437" s="92" t="s">
        <v>36</v>
      </c>
      <c r="C437" s="56">
        <f>C438+C439+C440+C441+C442+C443+C444</f>
        <v>28355.6</v>
      </c>
      <c r="D437" s="13"/>
    </row>
    <row r="438" spans="1:4" ht="38.25">
      <c r="A438" s="31" t="s">
        <v>37</v>
      </c>
      <c r="B438" s="32" t="s">
        <v>14</v>
      </c>
      <c r="C438" s="112">
        <v>9918.64</v>
      </c>
      <c r="D438" s="5"/>
    </row>
    <row r="439" spans="1:4" ht="12.75">
      <c r="A439" s="18" t="s">
        <v>38</v>
      </c>
      <c r="B439" s="60" t="s">
        <v>161</v>
      </c>
      <c r="C439" s="61">
        <v>71.08</v>
      </c>
      <c r="D439" s="5"/>
    </row>
    <row r="440" spans="1:4" ht="15">
      <c r="A440" s="18"/>
      <c r="B440" s="113" t="s">
        <v>185</v>
      </c>
      <c r="C440" s="61">
        <v>429.66</v>
      </c>
      <c r="D440" s="5"/>
    </row>
    <row r="441" spans="1:4" ht="12.75">
      <c r="A441" s="31" t="s">
        <v>42</v>
      </c>
      <c r="B441" s="60" t="s">
        <v>186</v>
      </c>
      <c r="C441" s="61">
        <f>1.9*230*12</f>
        <v>5244</v>
      </c>
      <c r="D441" s="5"/>
    </row>
    <row r="442" spans="1:4" ht="12.75">
      <c r="A442" s="31"/>
      <c r="B442" s="66" t="s">
        <v>187</v>
      </c>
      <c r="C442" s="61">
        <f>165+165</f>
        <v>330</v>
      </c>
      <c r="D442" s="5"/>
    </row>
    <row r="443" spans="1:4" ht="12.75">
      <c r="A443" s="31" t="s">
        <v>103</v>
      </c>
      <c r="B443" s="60" t="s">
        <v>166</v>
      </c>
      <c r="C443" s="61">
        <f>C429*0.15</f>
        <v>9176.94</v>
      </c>
      <c r="D443" s="5"/>
    </row>
    <row r="444" spans="1:4" ht="12.75">
      <c r="A444" s="18" t="s">
        <v>104</v>
      </c>
      <c r="B444" s="60" t="s">
        <v>167</v>
      </c>
      <c r="C444" s="61">
        <f>C445+C446</f>
        <v>3185.2799999999997</v>
      </c>
      <c r="D444" s="13"/>
    </row>
    <row r="445" spans="1:4" ht="12.75">
      <c r="A445" s="18"/>
      <c r="B445" s="66" t="s">
        <v>188</v>
      </c>
      <c r="C445" s="71">
        <v>212.39</v>
      </c>
      <c r="D445" s="13"/>
    </row>
    <row r="446" spans="1:4" ht="12.75">
      <c r="A446" s="18"/>
      <c r="B446" s="66" t="s">
        <v>189</v>
      </c>
      <c r="C446" s="71">
        <v>2972.89</v>
      </c>
      <c r="D446" s="13"/>
    </row>
    <row r="447" spans="1:4" ht="30">
      <c r="A447" s="8"/>
      <c r="B447" s="68" t="s">
        <v>168</v>
      </c>
      <c r="C447" s="69">
        <f>C431-C434</f>
        <v>-5936.0199999999895</v>
      </c>
      <c r="D447" s="114"/>
    </row>
    <row r="448" spans="1:4" ht="30">
      <c r="A448" s="8"/>
      <c r="B448" s="68" t="s">
        <v>169</v>
      </c>
      <c r="C448" s="69">
        <v>-2456.55</v>
      </c>
      <c r="D448" s="5"/>
    </row>
    <row r="449" spans="1:4" ht="15.75">
      <c r="A449" s="8"/>
      <c r="B449" s="68" t="s">
        <v>76</v>
      </c>
      <c r="C449" s="69">
        <f>C447+C448</f>
        <v>-8392.569999999989</v>
      </c>
      <c r="D449" s="5"/>
    </row>
    <row r="450" spans="1:4" ht="15.75">
      <c r="A450" s="8"/>
      <c r="B450" s="68"/>
      <c r="C450" s="69"/>
      <c r="D450" s="5"/>
    </row>
    <row r="451" spans="1:4" ht="31.5">
      <c r="A451" s="8"/>
      <c r="B451" s="110" t="s">
        <v>170</v>
      </c>
      <c r="C451" s="69">
        <f>C431-(C427+C428)</f>
        <v>-4322.170000000013</v>
      </c>
      <c r="D451" s="13"/>
    </row>
    <row r="452" spans="1:4" ht="15.75">
      <c r="A452" s="8"/>
      <c r="B452" s="68" t="s">
        <v>52</v>
      </c>
      <c r="C452" s="69">
        <v>-2872.67</v>
      </c>
      <c r="D452" s="5"/>
    </row>
    <row r="453" spans="1:4" ht="15.75">
      <c r="A453" s="8"/>
      <c r="B453" s="68" t="s">
        <v>107</v>
      </c>
      <c r="C453" s="69">
        <v>-1449.5</v>
      </c>
      <c r="D453" s="5"/>
    </row>
    <row r="454" spans="1:3" ht="15.75">
      <c r="A454" s="8"/>
      <c r="B454" s="111"/>
      <c r="C454" s="35"/>
    </row>
    <row r="456" ht="12.75">
      <c r="B456" t="s">
        <v>108</v>
      </c>
    </row>
    <row r="457" ht="12.75">
      <c r="B457" t="s">
        <v>171</v>
      </c>
    </row>
    <row r="458" spans="2:3" ht="12.75">
      <c r="B458" t="s">
        <v>190</v>
      </c>
      <c r="C458" s="96">
        <f>1192*58.87</f>
        <v>70173.04</v>
      </c>
    </row>
    <row r="459" spans="2:3" ht="12.75">
      <c r="B459" t="s">
        <v>191</v>
      </c>
      <c r="C459" s="97">
        <f>548*58.87</f>
        <v>32260.76</v>
      </c>
    </row>
    <row r="460" spans="2:3" ht="15">
      <c r="B460" s="98" t="s">
        <v>192</v>
      </c>
      <c r="C460" s="99">
        <f>C458-C459</f>
        <v>37912.28</v>
      </c>
    </row>
    <row r="461" ht="52.5" customHeight="1"/>
    <row r="462" spans="2:4" ht="15">
      <c r="B462" s="152" t="s">
        <v>0</v>
      </c>
      <c r="C462" s="152"/>
      <c r="D462" s="152"/>
    </row>
    <row r="463" spans="2:4" ht="15">
      <c r="B463" s="153" t="s">
        <v>1</v>
      </c>
      <c r="C463" s="153"/>
      <c r="D463" s="1"/>
    </row>
    <row r="464" spans="2:4" ht="18.75">
      <c r="B464" s="154" t="s">
        <v>193</v>
      </c>
      <c r="C464" s="154"/>
      <c r="D464" s="154"/>
    </row>
    <row r="465" spans="2:4" ht="15.75">
      <c r="B465" s="155" t="s">
        <v>3</v>
      </c>
      <c r="C465" s="155"/>
      <c r="D465" s="155"/>
    </row>
    <row r="466" spans="2:4" ht="12.75">
      <c r="B466" s="3"/>
      <c r="C466" s="4"/>
      <c r="D466" s="5"/>
    </row>
    <row r="467" spans="2:4" ht="14.25">
      <c r="B467" s="6"/>
      <c r="C467" s="7"/>
      <c r="D467" s="5"/>
    </row>
    <row r="468" spans="1:4" ht="15.75">
      <c r="A468" s="8"/>
      <c r="B468" s="9" t="s">
        <v>194</v>
      </c>
      <c r="C468" s="103">
        <v>334.84</v>
      </c>
      <c r="D468" s="5"/>
    </row>
    <row r="469" spans="1:4" ht="15">
      <c r="A469" s="8"/>
      <c r="B469" s="11" t="s">
        <v>5</v>
      </c>
      <c r="C469" s="12">
        <v>3.2</v>
      </c>
      <c r="D469" s="13"/>
    </row>
    <row r="470" spans="1:4" ht="15">
      <c r="A470" s="8"/>
      <c r="B470" s="14" t="s">
        <v>6</v>
      </c>
      <c r="C470" s="15">
        <v>5.49</v>
      </c>
      <c r="D470" s="13"/>
    </row>
    <row r="471" spans="1:4" ht="18.75">
      <c r="A471" s="8"/>
      <c r="B471" s="16" t="s">
        <v>7</v>
      </c>
      <c r="C471" s="17">
        <f>10506.17+17981.89</f>
        <v>28488.059999999998</v>
      </c>
      <c r="D471" s="13"/>
    </row>
    <row r="472" spans="1:4" ht="18">
      <c r="A472" s="18">
        <v>1</v>
      </c>
      <c r="B472" s="19" t="s">
        <v>8</v>
      </c>
      <c r="C472" s="20">
        <f>12857.88+22059.24</f>
        <v>34917.12</v>
      </c>
      <c r="D472" s="5"/>
    </row>
    <row r="473" spans="1:4" ht="18">
      <c r="A473" s="18">
        <v>2</v>
      </c>
      <c r="B473" s="21" t="s">
        <v>9</v>
      </c>
      <c r="C473" s="22">
        <f>(C471+C472)-C475</f>
        <v>27060.880000000005</v>
      </c>
      <c r="D473" s="5"/>
    </row>
    <row r="474" spans="1:4" ht="15">
      <c r="A474" s="18">
        <v>3</v>
      </c>
      <c r="B474" s="23" t="s">
        <v>10</v>
      </c>
      <c r="C474" s="24"/>
      <c r="D474" s="5"/>
    </row>
    <row r="475" spans="1:4" ht="18.75">
      <c r="A475" s="18"/>
      <c r="B475" s="25" t="s">
        <v>11</v>
      </c>
      <c r="C475" s="51">
        <f>13397.63+22946.67</f>
        <v>36344.299999999996</v>
      </c>
      <c r="D475" s="5"/>
    </row>
    <row r="476" spans="1:4" ht="15">
      <c r="A476" s="26"/>
      <c r="B476" s="27"/>
      <c r="C476" s="28"/>
      <c r="D476" s="5"/>
    </row>
    <row r="477" spans="1:4" ht="15">
      <c r="A477" s="26"/>
      <c r="B477" s="27"/>
      <c r="C477" s="28"/>
      <c r="D477" s="5"/>
    </row>
    <row r="478" spans="1:4" ht="31.5">
      <c r="A478" s="18">
        <v>4</v>
      </c>
      <c r="B478" s="29" t="s">
        <v>12</v>
      </c>
      <c r="C478" s="56">
        <f>C479+C480+C481+C482+C483+C484</f>
        <v>67482.068</v>
      </c>
      <c r="D478" s="5"/>
    </row>
    <row r="479" spans="1:4" ht="39">
      <c r="A479" s="31" t="s">
        <v>13</v>
      </c>
      <c r="B479" s="32" t="s">
        <v>14</v>
      </c>
      <c r="C479" s="33">
        <v>1686.85</v>
      </c>
      <c r="D479" s="5"/>
    </row>
    <row r="480" spans="1:4" ht="15.75">
      <c r="A480" s="18" t="s">
        <v>67</v>
      </c>
      <c r="B480" s="75" t="s">
        <v>195</v>
      </c>
      <c r="C480" s="35">
        <v>1484.28</v>
      </c>
      <c r="D480" s="5"/>
    </row>
    <row r="481" spans="1:4" ht="15.75">
      <c r="A481" s="18" t="s">
        <v>15</v>
      </c>
      <c r="B481" s="75" t="s">
        <v>16</v>
      </c>
      <c r="C481" s="35">
        <v>47.29</v>
      </c>
      <c r="D481" s="5"/>
    </row>
    <row r="482" spans="1:4" ht="15.75">
      <c r="A482" s="18" t="s">
        <v>178</v>
      </c>
      <c r="B482" s="76" t="s">
        <v>196</v>
      </c>
      <c r="C482" s="37">
        <f>1.7*230*12</f>
        <v>4692</v>
      </c>
      <c r="D482" s="5"/>
    </row>
    <row r="483" spans="1:4" ht="15.75">
      <c r="A483" s="8" t="s">
        <v>180</v>
      </c>
      <c r="B483" s="77" t="s">
        <v>44</v>
      </c>
      <c r="C483" s="39">
        <f>C472*0.15</f>
        <v>5237.568</v>
      </c>
      <c r="D483" s="5"/>
    </row>
    <row r="484" spans="1:4" ht="15.75">
      <c r="A484" s="8" t="s">
        <v>181</v>
      </c>
      <c r="B484" s="75" t="s">
        <v>20</v>
      </c>
      <c r="C484" s="35">
        <v>54334.08</v>
      </c>
      <c r="D484" s="5"/>
    </row>
    <row r="485" spans="1:4" ht="15.75">
      <c r="A485" s="8"/>
      <c r="B485" s="75"/>
      <c r="C485" s="35"/>
      <c r="D485" s="5"/>
    </row>
    <row r="486" spans="1:3" ht="18">
      <c r="A486" s="8"/>
      <c r="B486" s="44" t="s">
        <v>75</v>
      </c>
      <c r="C486" s="22">
        <v>7205.75</v>
      </c>
    </row>
    <row r="487" spans="1:4" ht="18">
      <c r="A487" s="8"/>
      <c r="B487" s="44" t="s">
        <v>197</v>
      </c>
      <c r="C487" s="22">
        <f>C473-C478</f>
        <v>-40421.187999999995</v>
      </c>
      <c r="D487" s="45"/>
    </row>
    <row r="488" spans="1:3" ht="18.75">
      <c r="A488" s="8"/>
      <c r="B488" s="73" t="s">
        <v>198</v>
      </c>
      <c r="C488" s="72">
        <f>SUM(C486:C487)</f>
        <v>-33215.437999999995</v>
      </c>
    </row>
    <row r="489" ht="51" customHeight="1"/>
    <row r="490" spans="2:4" ht="15">
      <c r="B490" s="152" t="s">
        <v>0</v>
      </c>
      <c r="C490" s="152"/>
      <c r="D490" s="152"/>
    </row>
    <row r="491" spans="2:4" ht="15">
      <c r="B491" s="153" t="s">
        <v>1</v>
      </c>
      <c r="C491" s="153"/>
      <c r="D491" s="1"/>
    </row>
    <row r="492" spans="2:4" ht="18.75">
      <c r="B492" s="154" t="s">
        <v>199</v>
      </c>
      <c r="C492" s="154"/>
      <c r="D492" s="154"/>
    </row>
    <row r="493" spans="2:4" ht="15.75">
      <c r="B493" s="155" t="s">
        <v>3</v>
      </c>
      <c r="C493" s="155"/>
      <c r="D493" s="155"/>
    </row>
    <row r="494" spans="2:4" ht="12.75">
      <c r="B494" s="3"/>
      <c r="C494" s="4"/>
      <c r="D494" s="5"/>
    </row>
    <row r="495" spans="2:4" ht="14.25">
      <c r="B495" s="6"/>
      <c r="C495" s="7"/>
      <c r="D495" s="5"/>
    </row>
    <row r="496" spans="1:4" ht="15.75">
      <c r="A496" s="8"/>
      <c r="B496" s="9" t="s">
        <v>194</v>
      </c>
      <c r="C496" s="103">
        <v>327.19</v>
      </c>
      <c r="D496" s="5"/>
    </row>
    <row r="497" spans="1:4" ht="15">
      <c r="A497" s="8"/>
      <c r="B497" s="11" t="s">
        <v>5</v>
      </c>
      <c r="C497" s="12">
        <v>3.2</v>
      </c>
      <c r="D497" s="13"/>
    </row>
    <row r="498" spans="1:4" ht="15">
      <c r="A498" s="8"/>
      <c r="B498" s="14" t="s">
        <v>6</v>
      </c>
      <c r="C498" s="15">
        <v>5.49</v>
      </c>
      <c r="D498" s="13"/>
    </row>
    <row r="499" spans="1:4" ht="18.75">
      <c r="A499" s="8"/>
      <c r="B499" s="16" t="s">
        <v>7</v>
      </c>
      <c r="C499" s="17">
        <f>655.01+1122.15</f>
        <v>1777.16</v>
      </c>
      <c r="D499" s="13"/>
    </row>
    <row r="500" spans="1:4" ht="18">
      <c r="A500" s="18">
        <v>1</v>
      </c>
      <c r="B500" s="19" t="s">
        <v>8</v>
      </c>
      <c r="C500" s="20">
        <f>12562.2+21552</f>
        <v>34114.2</v>
      </c>
      <c r="D500" s="5"/>
    </row>
    <row r="501" spans="1:4" ht="18">
      <c r="A501" s="18">
        <v>2</v>
      </c>
      <c r="B501" s="21" t="s">
        <v>9</v>
      </c>
      <c r="C501" s="22">
        <f>(C499+C500)-C503</f>
        <v>34808.53</v>
      </c>
      <c r="D501" s="5"/>
    </row>
    <row r="502" spans="1:4" ht="15">
      <c r="A502" s="18">
        <v>3</v>
      </c>
      <c r="B502" s="23" t="s">
        <v>10</v>
      </c>
      <c r="C502" s="24"/>
      <c r="D502" s="5"/>
    </row>
    <row r="503" spans="1:4" ht="18.75">
      <c r="A503" s="18"/>
      <c r="B503" s="25" t="s">
        <v>11</v>
      </c>
      <c r="C503" s="51">
        <f>398.75+684.08</f>
        <v>1082.83</v>
      </c>
      <c r="D503" s="5"/>
    </row>
    <row r="504" spans="1:4" ht="15">
      <c r="A504" s="26"/>
      <c r="B504" s="27"/>
      <c r="C504" s="28"/>
      <c r="D504" s="5"/>
    </row>
    <row r="505" spans="1:4" ht="15">
      <c r="A505" s="26"/>
      <c r="B505" s="27"/>
      <c r="C505" s="28"/>
      <c r="D505" s="5"/>
    </row>
    <row r="506" spans="1:4" ht="31.5">
      <c r="A506" s="18">
        <v>4</v>
      </c>
      <c r="B506" s="29" t="s">
        <v>12</v>
      </c>
      <c r="C506" s="56">
        <f>C507+C508+C509+C510+C511+C512</f>
        <v>24163.69</v>
      </c>
      <c r="D506" s="5"/>
    </row>
    <row r="507" spans="1:4" ht="39">
      <c r="A507" s="31" t="s">
        <v>13</v>
      </c>
      <c r="B507" s="32" t="s">
        <v>14</v>
      </c>
      <c r="C507" s="33">
        <v>1287.28</v>
      </c>
      <c r="D507" s="5"/>
    </row>
    <row r="508" spans="1:4" ht="15.75">
      <c r="A508" s="18" t="s">
        <v>67</v>
      </c>
      <c r="B508" s="75" t="s">
        <v>195</v>
      </c>
      <c r="C508" s="35">
        <v>1886.04</v>
      </c>
      <c r="D508" s="5"/>
    </row>
    <row r="509" spans="1:4" ht="15.75">
      <c r="A509" s="18" t="s">
        <v>15</v>
      </c>
      <c r="B509" s="75" t="s">
        <v>16</v>
      </c>
      <c r="C509" s="35">
        <v>46.16</v>
      </c>
      <c r="D509" s="5"/>
    </row>
    <row r="510" spans="1:4" ht="15.75">
      <c r="A510" s="18" t="s">
        <v>178</v>
      </c>
      <c r="B510" s="76" t="s">
        <v>200</v>
      </c>
      <c r="C510" s="37">
        <f>1.2*230*12</f>
        <v>3312</v>
      </c>
      <c r="D510" s="5"/>
    </row>
    <row r="511" spans="1:4" ht="15.75">
      <c r="A511" s="8" t="s">
        <v>180</v>
      </c>
      <c r="B511" s="77" t="s">
        <v>44</v>
      </c>
      <c r="C511" s="39">
        <f>C500*0.15</f>
        <v>5117.129999999999</v>
      </c>
      <c r="D511" s="5"/>
    </row>
    <row r="512" spans="1:4" ht="15.75">
      <c r="A512" s="8" t="s">
        <v>181</v>
      </c>
      <c r="B512" s="75" t="s">
        <v>20</v>
      </c>
      <c r="C512" s="35">
        <v>12515.08</v>
      </c>
      <c r="D512" s="5"/>
    </row>
    <row r="513" spans="1:4" ht="15.75">
      <c r="A513" s="8"/>
      <c r="B513" s="75"/>
      <c r="C513" s="35"/>
      <c r="D513" s="5"/>
    </row>
    <row r="514" spans="1:3" ht="18">
      <c r="A514" s="8"/>
      <c r="B514" s="44" t="s">
        <v>75</v>
      </c>
      <c r="C514" s="22">
        <v>11132.63</v>
      </c>
    </row>
    <row r="515" spans="1:4" ht="18">
      <c r="A515" s="8"/>
      <c r="B515" s="44" t="s">
        <v>197</v>
      </c>
      <c r="C515" s="22">
        <f>C501-C506</f>
        <v>10644.84</v>
      </c>
      <c r="D515" s="45"/>
    </row>
    <row r="516" spans="1:3" ht="18.75">
      <c r="A516" s="8"/>
      <c r="B516" s="73" t="s">
        <v>198</v>
      </c>
      <c r="C516" s="72">
        <f>SUM(C514:C515)</f>
        <v>21777.47</v>
      </c>
    </row>
    <row r="517" ht="54" customHeight="1"/>
    <row r="518" spans="2:4" ht="15">
      <c r="B518" s="152" t="s">
        <v>0</v>
      </c>
      <c r="C518" s="152"/>
      <c r="D518" s="152"/>
    </row>
    <row r="519" spans="2:4" ht="15">
      <c r="B519" s="153" t="s">
        <v>91</v>
      </c>
      <c r="C519" s="153"/>
      <c r="D519" s="1"/>
    </row>
    <row r="520" spans="2:4" ht="18.75">
      <c r="B520" s="154" t="s">
        <v>201</v>
      </c>
      <c r="C520" s="154"/>
      <c r="D520" s="154"/>
    </row>
    <row r="521" spans="2:4" ht="15.75">
      <c r="B521" s="155" t="s">
        <v>202</v>
      </c>
      <c r="C521" s="155"/>
      <c r="D521" s="155"/>
    </row>
    <row r="522" spans="2:4" ht="12.75">
      <c r="B522" s="3"/>
      <c r="C522" s="4"/>
      <c r="D522" s="5"/>
    </row>
    <row r="523" spans="2:4" ht="14.25">
      <c r="B523" s="6"/>
      <c r="C523" s="7"/>
      <c r="D523" s="5"/>
    </row>
    <row r="524" spans="1:4" ht="14.25">
      <c r="A524" s="8"/>
      <c r="B524" s="115" t="s">
        <v>4</v>
      </c>
      <c r="C524" s="116">
        <v>1276.6</v>
      </c>
      <c r="D524" s="5"/>
    </row>
    <row r="525" spans="1:4" ht="12.75">
      <c r="A525" s="8"/>
      <c r="B525" s="48" t="s">
        <v>24</v>
      </c>
      <c r="C525" s="49">
        <v>5.33</v>
      </c>
      <c r="D525" s="13"/>
    </row>
    <row r="526" spans="1:4" ht="12.75">
      <c r="A526" s="8"/>
      <c r="B526" s="50" t="s">
        <v>6</v>
      </c>
      <c r="C526" s="49">
        <v>9.16</v>
      </c>
      <c r="D526" s="13"/>
    </row>
    <row r="527" spans="1:4" ht="18.75">
      <c r="A527" s="18"/>
      <c r="B527" s="16" t="s">
        <v>7</v>
      </c>
      <c r="C527" s="51">
        <f>4718.56+8104.83+4077.35+7788.16</f>
        <v>24688.899999999998</v>
      </c>
      <c r="D527" s="5"/>
    </row>
    <row r="528" spans="1:4" ht="18.75">
      <c r="A528" s="18" t="s">
        <v>203</v>
      </c>
      <c r="B528" s="19" t="s">
        <v>25</v>
      </c>
      <c r="C528" s="51">
        <f>C529+C530</f>
        <v>363395.04000000004</v>
      </c>
      <c r="D528" s="5"/>
    </row>
    <row r="529" spans="1:4" ht="15">
      <c r="A529" s="18" t="s">
        <v>93</v>
      </c>
      <c r="B529" s="23" t="s">
        <v>204</v>
      </c>
      <c r="C529" s="24">
        <f>81651.03+140322.85</f>
        <v>221973.88</v>
      </c>
      <c r="D529" s="5"/>
    </row>
    <row r="530" spans="1:4" ht="15">
      <c r="A530" s="18" t="s">
        <v>95</v>
      </c>
      <c r="B530" s="23" t="s">
        <v>96</v>
      </c>
      <c r="C530" s="24">
        <f>49960.69+91460.47</f>
        <v>141421.16</v>
      </c>
      <c r="D530" s="5"/>
    </row>
    <row r="531" spans="1:4" ht="18">
      <c r="A531" s="18" t="s">
        <v>205</v>
      </c>
      <c r="B531" s="19" t="s">
        <v>28</v>
      </c>
      <c r="C531" s="20">
        <f>C532+C533</f>
        <v>369227.3</v>
      </c>
      <c r="D531" s="5"/>
    </row>
    <row r="532" spans="1:4" ht="15.75">
      <c r="A532" s="18" t="s">
        <v>29</v>
      </c>
      <c r="B532" s="89" t="s">
        <v>206</v>
      </c>
      <c r="C532" s="35">
        <f>81756.9+140500.47</f>
        <v>222257.37</v>
      </c>
      <c r="D532" s="5"/>
    </row>
    <row r="533" spans="1:4" ht="15.75">
      <c r="A533" s="18" t="s">
        <v>31</v>
      </c>
      <c r="B533" s="89" t="s">
        <v>98</v>
      </c>
      <c r="C533" s="35">
        <f>51807.53+95162.4</f>
        <v>146969.93</v>
      </c>
      <c r="D533" s="5"/>
    </row>
    <row r="534" spans="1:4" ht="36">
      <c r="A534" s="18">
        <v>3</v>
      </c>
      <c r="B534" s="53" t="s">
        <v>12</v>
      </c>
      <c r="C534" s="54">
        <f>C535+C537</f>
        <v>309360.99199999997</v>
      </c>
      <c r="D534" s="5"/>
    </row>
    <row r="535" spans="1:4" ht="18.75">
      <c r="A535" s="18" t="s">
        <v>207</v>
      </c>
      <c r="B535" s="92" t="s">
        <v>32</v>
      </c>
      <c r="C535" s="56">
        <f>C536</f>
        <v>148352.4</v>
      </c>
      <c r="D535" s="5"/>
    </row>
    <row r="536" spans="1:4" ht="15.75">
      <c r="A536" s="18" t="s">
        <v>208</v>
      </c>
      <c r="B536" s="92" t="s">
        <v>99</v>
      </c>
      <c r="C536" s="93">
        <f>2520*58.87</f>
        <v>148352.4</v>
      </c>
      <c r="D536" s="5"/>
    </row>
    <row r="537" spans="1:4" ht="18.75">
      <c r="A537" s="18" t="s">
        <v>209</v>
      </c>
      <c r="B537" s="92" t="s">
        <v>36</v>
      </c>
      <c r="C537" s="56">
        <f>C538+C539+C540+C541+C542+C543+C544</f>
        <v>161008.592</v>
      </c>
      <c r="D537" s="5"/>
    </row>
    <row r="538" spans="1:4" ht="25.5">
      <c r="A538" s="31" t="s">
        <v>210</v>
      </c>
      <c r="B538" s="117" t="s">
        <v>211</v>
      </c>
      <c r="C538" s="59">
        <v>45018.61</v>
      </c>
      <c r="D538" s="5"/>
    </row>
    <row r="539" spans="1:4" ht="12.75">
      <c r="A539" s="18" t="s">
        <v>37</v>
      </c>
      <c r="B539" s="118" t="s">
        <v>212</v>
      </c>
      <c r="C539" s="61">
        <v>139.33</v>
      </c>
      <c r="D539" s="5"/>
    </row>
    <row r="540" spans="1:4" ht="12.75">
      <c r="A540" s="18" t="s">
        <v>38</v>
      </c>
      <c r="B540" s="111" t="s">
        <v>213</v>
      </c>
      <c r="C540" s="61">
        <v>24989.5</v>
      </c>
      <c r="D540" s="5"/>
    </row>
    <row r="541" spans="1:4" ht="12.75">
      <c r="A541" s="18" t="s">
        <v>100</v>
      </c>
      <c r="B541" s="111" t="s">
        <v>214</v>
      </c>
      <c r="C541" s="61">
        <v>3836.25</v>
      </c>
      <c r="D541" s="5"/>
    </row>
    <row r="542" spans="1:4" ht="12.75">
      <c r="A542" s="31" t="s">
        <v>40</v>
      </c>
      <c r="B542" s="118" t="s">
        <v>215</v>
      </c>
      <c r="C542" s="61">
        <f>4.8*230*12</f>
        <v>13248</v>
      </c>
      <c r="D542" s="5"/>
    </row>
    <row r="543" spans="1:4" ht="12.75">
      <c r="A543" s="31" t="s">
        <v>42</v>
      </c>
      <c r="B543" s="118" t="s">
        <v>216</v>
      </c>
      <c r="C543" s="61">
        <f>C529*0.15</f>
        <v>33296.082</v>
      </c>
      <c r="D543" s="5"/>
    </row>
    <row r="544" spans="1:4" ht="12.75">
      <c r="A544" s="8" t="s">
        <v>43</v>
      </c>
      <c r="B544" s="118" t="s">
        <v>217</v>
      </c>
      <c r="C544" s="61">
        <v>40480.82</v>
      </c>
      <c r="D544" s="5"/>
    </row>
    <row r="545" spans="1:4" ht="12.75">
      <c r="A545" s="8"/>
      <c r="B545" s="66"/>
      <c r="C545" s="119"/>
      <c r="D545" s="5"/>
    </row>
    <row r="546" spans="1:4" ht="30">
      <c r="A546" s="8"/>
      <c r="B546" s="68" t="s">
        <v>218</v>
      </c>
      <c r="C546" s="69">
        <f>C531-C534</f>
        <v>59866.30800000002</v>
      </c>
      <c r="D546" s="5"/>
    </row>
    <row r="547" spans="1:4" ht="15.75">
      <c r="A547" s="8"/>
      <c r="B547" s="68" t="s">
        <v>136</v>
      </c>
      <c r="C547" s="69">
        <v>-48691.63</v>
      </c>
      <c r="D547" s="5"/>
    </row>
    <row r="548" spans="1:4" ht="15.75">
      <c r="A548" s="8"/>
      <c r="B548" s="68" t="s">
        <v>76</v>
      </c>
      <c r="C548" s="69">
        <f>C546+C547</f>
        <v>11174.678000000022</v>
      </c>
      <c r="D548" s="5"/>
    </row>
    <row r="549" spans="1:4" ht="15.75">
      <c r="A549" s="8"/>
      <c r="B549" s="68"/>
      <c r="C549" s="69"/>
      <c r="D549" s="5"/>
    </row>
    <row r="550" spans="1:4" ht="30">
      <c r="A550" s="8"/>
      <c r="B550" s="68" t="s">
        <v>51</v>
      </c>
      <c r="C550" s="69">
        <f>C531-(C527+C528)</f>
        <v>-18856.640000000072</v>
      </c>
      <c r="D550" s="5"/>
    </row>
    <row r="551" spans="1:4" ht="15.75">
      <c r="A551" s="8"/>
      <c r="B551" s="68" t="s">
        <v>52</v>
      </c>
      <c r="C551" s="69">
        <v>-12539.9</v>
      </c>
      <c r="D551" s="5"/>
    </row>
    <row r="552" spans="1:4" ht="15.75">
      <c r="A552" s="8"/>
      <c r="B552" s="68" t="s">
        <v>107</v>
      </c>
      <c r="C552" s="69">
        <v>-6316.74</v>
      </c>
      <c r="D552" s="5"/>
    </row>
    <row r="553" spans="1:4" ht="12.75">
      <c r="A553" s="65"/>
      <c r="B553" s="120"/>
      <c r="C553" s="121"/>
      <c r="D553" s="5"/>
    </row>
    <row r="554" spans="1:4" ht="12.75">
      <c r="A554" s="65"/>
      <c r="B554" s="120"/>
      <c r="C554" s="121"/>
      <c r="D554" s="5"/>
    </row>
    <row r="555" ht="12.75">
      <c r="C555" s="122"/>
    </row>
    <row r="556" ht="12.75">
      <c r="B556" t="s">
        <v>108</v>
      </c>
    </row>
    <row r="557" ht="12.75">
      <c r="B557" t="s">
        <v>109</v>
      </c>
    </row>
    <row r="558" spans="2:3" ht="12.75">
      <c r="B558" t="s">
        <v>219</v>
      </c>
      <c r="C558" s="97">
        <f>2520*58.87</f>
        <v>148352.4</v>
      </c>
    </row>
    <row r="559" spans="2:3" ht="12.75">
      <c r="B559" t="s">
        <v>220</v>
      </c>
      <c r="C559" s="97">
        <f>2401.7*58.87</f>
        <v>141388.07899999997</v>
      </c>
    </row>
    <row r="560" spans="2:3" ht="15">
      <c r="B560" s="98" t="s">
        <v>221</v>
      </c>
      <c r="C560" s="99">
        <f>C558-C559</f>
        <v>6964.321000000025</v>
      </c>
    </row>
    <row r="561" ht="55.5" customHeight="1"/>
    <row r="562" spans="2:4" ht="15">
      <c r="B562" s="152" t="s">
        <v>0</v>
      </c>
      <c r="C562" s="152"/>
      <c r="D562" s="152"/>
    </row>
    <row r="563" spans="2:4" ht="15">
      <c r="B563" s="153" t="s">
        <v>1</v>
      </c>
      <c r="C563" s="153"/>
      <c r="D563" s="1"/>
    </row>
    <row r="564" spans="2:4" ht="18.75">
      <c r="B564" s="154" t="s">
        <v>222</v>
      </c>
      <c r="C564" s="154"/>
      <c r="D564" s="154"/>
    </row>
    <row r="565" spans="2:4" ht="15.75">
      <c r="B565" s="155" t="s">
        <v>3</v>
      </c>
      <c r="C565" s="155"/>
      <c r="D565" s="155"/>
    </row>
    <row r="566" spans="2:4" ht="12.75">
      <c r="B566" s="3"/>
      <c r="C566" s="4"/>
      <c r="D566" s="5"/>
    </row>
    <row r="567" spans="2:4" ht="14.25">
      <c r="B567" s="6"/>
      <c r="C567" s="7"/>
      <c r="D567" s="5"/>
    </row>
    <row r="568" spans="1:4" ht="15.75">
      <c r="A568" s="8"/>
      <c r="B568" s="9" t="s">
        <v>4</v>
      </c>
      <c r="C568" s="10">
        <v>354.32</v>
      </c>
      <c r="D568" s="5"/>
    </row>
    <row r="569" spans="1:4" ht="15">
      <c r="A569" s="8"/>
      <c r="B569" s="11" t="s">
        <v>5</v>
      </c>
      <c r="C569" s="12">
        <v>3.74</v>
      </c>
      <c r="D569" s="13"/>
    </row>
    <row r="570" spans="1:4" ht="15">
      <c r="A570" s="8"/>
      <c r="B570" s="14" t="s">
        <v>6</v>
      </c>
      <c r="C570" s="15">
        <v>6.42</v>
      </c>
      <c r="D570" s="13"/>
    </row>
    <row r="571" spans="1:4" ht="18.75">
      <c r="A571" s="8"/>
      <c r="B571" s="16" t="s">
        <v>7</v>
      </c>
      <c r="C571" s="17">
        <f>2667.08+4571.7</f>
        <v>7238.78</v>
      </c>
      <c r="D571" s="13"/>
    </row>
    <row r="572" spans="1:4" ht="18">
      <c r="A572" s="18">
        <v>1</v>
      </c>
      <c r="B572" s="19" t="s">
        <v>8</v>
      </c>
      <c r="C572" s="20">
        <f>43245.74</f>
        <v>43245.74</v>
      </c>
      <c r="D572" s="5"/>
    </row>
    <row r="573" spans="1:4" ht="18">
      <c r="A573" s="18">
        <v>2</v>
      </c>
      <c r="B573" s="21" t="s">
        <v>9</v>
      </c>
      <c r="C573" s="22">
        <f>(C571+C572)-C575</f>
        <v>40991.14</v>
      </c>
      <c r="D573" s="5"/>
    </row>
    <row r="574" spans="1:4" ht="15">
      <c r="A574" s="18">
        <v>3</v>
      </c>
      <c r="B574" s="23" t="s">
        <v>10</v>
      </c>
      <c r="C574" s="24"/>
      <c r="D574" s="5"/>
    </row>
    <row r="575" spans="1:4" ht="18.75">
      <c r="A575" s="18"/>
      <c r="B575" s="25" t="s">
        <v>11</v>
      </c>
      <c r="C575" s="51">
        <f>3495.02+5998.36</f>
        <v>9493.38</v>
      </c>
      <c r="D575" s="5"/>
    </row>
    <row r="576" spans="1:4" ht="15">
      <c r="A576" s="26"/>
      <c r="B576" s="27"/>
      <c r="C576" s="28"/>
      <c r="D576" s="5"/>
    </row>
    <row r="577" spans="1:4" ht="15">
      <c r="A577" s="26"/>
      <c r="B577" s="27"/>
      <c r="C577" s="28"/>
      <c r="D577" s="5"/>
    </row>
    <row r="578" spans="1:4" ht="31.5">
      <c r="A578" s="18">
        <v>4</v>
      </c>
      <c r="B578" s="29" t="s">
        <v>12</v>
      </c>
      <c r="C578" s="30">
        <f>C579+C580+C581+C582+C583+C584+C585</f>
        <v>24366.571000000004</v>
      </c>
      <c r="D578" s="5"/>
    </row>
    <row r="579" spans="1:4" ht="39">
      <c r="A579" s="31" t="s">
        <v>13</v>
      </c>
      <c r="B579" s="32" t="s">
        <v>14</v>
      </c>
      <c r="C579" s="33">
        <v>7509.6</v>
      </c>
      <c r="D579" s="5"/>
    </row>
    <row r="580" spans="1:4" ht="15.75">
      <c r="A580" s="18" t="s">
        <v>67</v>
      </c>
      <c r="B580" s="75" t="s">
        <v>223</v>
      </c>
      <c r="C580" s="35">
        <v>1939.05</v>
      </c>
      <c r="D580" s="5"/>
    </row>
    <row r="581" spans="1:4" ht="15.75">
      <c r="A581" s="18" t="s">
        <v>15</v>
      </c>
      <c r="B581" s="75" t="s">
        <v>69</v>
      </c>
      <c r="C581" s="35">
        <v>24.78</v>
      </c>
      <c r="D581" s="5"/>
    </row>
    <row r="582" spans="1:4" ht="36.75">
      <c r="A582" s="18" t="s">
        <v>18</v>
      </c>
      <c r="B582" s="66" t="s">
        <v>224</v>
      </c>
      <c r="C582" s="35">
        <v>3435.15</v>
      </c>
      <c r="D582" s="5"/>
    </row>
    <row r="583" spans="1:4" ht="15.75">
      <c r="A583" s="18" t="s">
        <v>178</v>
      </c>
      <c r="B583" s="76" t="s">
        <v>225</v>
      </c>
      <c r="C583" s="37">
        <f>1.6*230*12</f>
        <v>4416</v>
      </c>
      <c r="D583" s="5"/>
    </row>
    <row r="584" spans="1:4" ht="15.75">
      <c r="A584" s="8" t="s">
        <v>180</v>
      </c>
      <c r="B584" s="77" t="s">
        <v>71</v>
      </c>
      <c r="C584" s="39">
        <f>C572*0.15</f>
        <v>6486.861</v>
      </c>
      <c r="D584" s="5"/>
    </row>
    <row r="585" spans="1:4" ht="15.75">
      <c r="A585" s="8" t="s">
        <v>181</v>
      </c>
      <c r="B585" s="75" t="s">
        <v>226</v>
      </c>
      <c r="C585" s="35">
        <v>555.13</v>
      </c>
      <c r="D585" s="5"/>
    </row>
    <row r="586" spans="1:4" ht="12.75">
      <c r="A586" s="8"/>
      <c r="B586" s="40"/>
      <c r="C586" s="67"/>
      <c r="D586" s="5"/>
    </row>
    <row r="587" spans="1:3" ht="18">
      <c r="A587" s="8"/>
      <c r="B587" s="44" t="s">
        <v>75</v>
      </c>
      <c r="C587" s="72">
        <v>-2746.21</v>
      </c>
    </row>
    <row r="588" spans="1:4" ht="18">
      <c r="A588" s="8"/>
      <c r="B588" s="44" t="s">
        <v>227</v>
      </c>
      <c r="C588" s="22">
        <f>C573-C578</f>
        <v>16624.568999999996</v>
      </c>
      <c r="D588" s="45"/>
    </row>
    <row r="589" spans="1:3" ht="18.75">
      <c r="A589" s="8"/>
      <c r="B589" s="73" t="s">
        <v>76</v>
      </c>
      <c r="C589" s="72">
        <f>SUM(C587:C588)</f>
        <v>13878.358999999997</v>
      </c>
    </row>
    <row r="590" ht="54" customHeight="1"/>
    <row r="591" spans="2:4" ht="15">
      <c r="B591" s="152" t="s">
        <v>0</v>
      </c>
      <c r="C591" s="152"/>
      <c r="D591" s="152"/>
    </row>
    <row r="592" spans="2:4" ht="15">
      <c r="B592" s="153" t="s">
        <v>1</v>
      </c>
      <c r="C592" s="153"/>
      <c r="D592" s="1"/>
    </row>
    <row r="593" spans="2:4" ht="18.75">
      <c r="B593" s="154" t="s">
        <v>228</v>
      </c>
      <c r="C593" s="154"/>
      <c r="D593" s="154"/>
    </row>
    <row r="594" spans="2:4" ht="15.75">
      <c r="B594" s="155" t="s">
        <v>3</v>
      </c>
      <c r="C594" s="155"/>
      <c r="D594" s="155"/>
    </row>
    <row r="595" spans="2:4" ht="12.75">
      <c r="B595" s="3"/>
      <c r="C595" s="4"/>
      <c r="D595" s="5"/>
    </row>
    <row r="596" spans="2:4" ht="14.25">
      <c r="B596" s="6"/>
      <c r="C596" s="7"/>
      <c r="D596" s="5"/>
    </row>
    <row r="597" spans="1:4" ht="15.75">
      <c r="A597" s="8"/>
      <c r="B597" s="9" t="s">
        <v>4</v>
      </c>
      <c r="C597" s="10">
        <v>368.5</v>
      </c>
      <c r="D597" s="5"/>
    </row>
    <row r="598" spans="1:4" ht="15">
      <c r="A598" s="8"/>
      <c r="B598" s="11" t="s">
        <v>5</v>
      </c>
      <c r="C598" s="12">
        <v>3.74</v>
      </c>
      <c r="D598" s="13"/>
    </row>
    <row r="599" spans="1:4" ht="15">
      <c r="A599" s="8"/>
      <c r="B599" s="14" t="s">
        <v>6</v>
      </c>
      <c r="C599" s="15">
        <v>6.42</v>
      </c>
      <c r="D599" s="13"/>
    </row>
    <row r="600" spans="1:4" ht="18.75">
      <c r="A600" s="8"/>
      <c r="B600" s="16" t="s">
        <v>7</v>
      </c>
      <c r="C600" s="17">
        <f>1660.64+2847.09</f>
        <v>4507.7300000000005</v>
      </c>
      <c r="D600" s="13"/>
    </row>
    <row r="601" spans="1:4" ht="18">
      <c r="A601" s="18">
        <v>1</v>
      </c>
      <c r="B601" s="19" t="s">
        <v>8</v>
      </c>
      <c r="C601" s="20">
        <f>44915.16</f>
        <v>44915.16</v>
      </c>
      <c r="D601" s="5"/>
    </row>
    <row r="602" spans="1:4" ht="18">
      <c r="A602" s="18">
        <v>2</v>
      </c>
      <c r="B602" s="21" t="s">
        <v>9</v>
      </c>
      <c r="C602" s="22">
        <f>(C600+C601)-C604</f>
        <v>46190.58000000001</v>
      </c>
      <c r="D602" s="5"/>
    </row>
    <row r="603" spans="1:4" ht="15">
      <c r="A603" s="18">
        <v>3</v>
      </c>
      <c r="B603" s="23" t="s">
        <v>10</v>
      </c>
      <c r="C603" s="24"/>
      <c r="D603" s="5"/>
    </row>
    <row r="604" spans="1:4" ht="18.75">
      <c r="A604" s="18"/>
      <c r="B604" s="25" t="s">
        <v>11</v>
      </c>
      <c r="C604" s="51">
        <f>1189.93+2042.38</f>
        <v>3232.3100000000004</v>
      </c>
      <c r="D604" s="5"/>
    </row>
    <row r="605" spans="1:4" ht="15">
      <c r="A605" s="26"/>
      <c r="B605" s="27"/>
      <c r="C605" s="28"/>
      <c r="D605" s="5"/>
    </row>
    <row r="606" spans="1:4" ht="15">
      <c r="A606" s="26"/>
      <c r="B606" s="27"/>
      <c r="C606" s="28"/>
      <c r="D606" s="5"/>
    </row>
    <row r="607" spans="1:4" ht="31.5">
      <c r="A607" s="18">
        <v>4</v>
      </c>
      <c r="B607" s="29" t="s">
        <v>12</v>
      </c>
      <c r="C607" s="30">
        <f>C608+C609+C610+C611+C612+C613+C614</f>
        <v>25323.454</v>
      </c>
      <c r="D607" s="5"/>
    </row>
    <row r="608" spans="1:4" ht="39">
      <c r="A608" s="31" t="s">
        <v>13</v>
      </c>
      <c r="B608" s="32" t="s">
        <v>14</v>
      </c>
      <c r="C608" s="33">
        <v>8177.28</v>
      </c>
      <c r="D608" s="5"/>
    </row>
    <row r="609" spans="1:4" ht="15.75">
      <c r="A609" s="18" t="s">
        <v>67</v>
      </c>
      <c r="B609" s="75" t="s">
        <v>78</v>
      </c>
      <c r="C609" s="35">
        <v>809.1</v>
      </c>
      <c r="D609" s="5"/>
    </row>
    <row r="610" spans="1:4" ht="15.75">
      <c r="A610" s="18" t="s">
        <v>15</v>
      </c>
      <c r="B610" s="75" t="s">
        <v>69</v>
      </c>
      <c r="C610" s="35">
        <v>25.91</v>
      </c>
      <c r="D610" s="5"/>
    </row>
    <row r="611" spans="1:4" ht="36.75">
      <c r="A611" s="18" t="s">
        <v>18</v>
      </c>
      <c r="B611" s="66" t="s">
        <v>224</v>
      </c>
      <c r="C611" s="35">
        <v>3435.15</v>
      </c>
      <c r="D611" s="5"/>
    </row>
    <row r="612" spans="1:4" ht="15.75">
      <c r="A612" s="18" t="s">
        <v>178</v>
      </c>
      <c r="B612" s="76" t="s">
        <v>229</v>
      </c>
      <c r="C612" s="37">
        <f>2.1*230*12</f>
        <v>5796</v>
      </c>
      <c r="D612" s="5"/>
    </row>
    <row r="613" spans="1:4" ht="15.75">
      <c r="A613" s="8" t="s">
        <v>180</v>
      </c>
      <c r="B613" s="77" t="s">
        <v>71</v>
      </c>
      <c r="C613" s="39">
        <f>C601*0.15</f>
        <v>6737.274</v>
      </c>
      <c r="D613" s="5"/>
    </row>
    <row r="614" spans="1:4" ht="15.75">
      <c r="A614" s="8" t="s">
        <v>181</v>
      </c>
      <c r="B614" s="75" t="s">
        <v>226</v>
      </c>
      <c r="C614" s="35">
        <v>342.74</v>
      </c>
      <c r="D614" s="5"/>
    </row>
    <row r="615" spans="1:4" ht="12.75">
      <c r="A615" s="8"/>
      <c r="B615" s="40"/>
      <c r="C615" s="67"/>
      <c r="D615" s="5"/>
    </row>
    <row r="616" spans="1:3" ht="18">
      <c r="A616" s="8"/>
      <c r="B616" s="44" t="s">
        <v>75</v>
      </c>
      <c r="C616" s="72">
        <v>-12352.23</v>
      </c>
    </row>
    <row r="617" spans="1:4" ht="18">
      <c r="A617" s="8"/>
      <c r="B617" s="44" t="s">
        <v>227</v>
      </c>
      <c r="C617" s="22">
        <f>C602-C607</f>
        <v>20867.126000000007</v>
      </c>
      <c r="D617" s="45"/>
    </row>
    <row r="618" spans="1:3" ht="18.75">
      <c r="A618" s="8"/>
      <c r="B618" s="73" t="s">
        <v>76</v>
      </c>
      <c r="C618" s="22">
        <f>SUM(C616:C617)</f>
        <v>8514.896000000008</v>
      </c>
    </row>
    <row r="619" ht="55.5" customHeight="1"/>
    <row r="620" spans="2:4" ht="15">
      <c r="B620" s="152" t="s">
        <v>0</v>
      </c>
      <c r="C620" s="152"/>
      <c r="D620" s="152"/>
    </row>
    <row r="621" spans="2:4" ht="15">
      <c r="B621" s="153" t="s">
        <v>91</v>
      </c>
      <c r="C621" s="153"/>
      <c r="D621" s="1"/>
    </row>
    <row r="622" spans="2:4" ht="18.75">
      <c r="B622" s="154" t="s">
        <v>230</v>
      </c>
      <c r="C622" s="154"/>
      <c r="D622" s="154"/>
    </row>
    <row r="623" spans="2:4" ht="15.75">
      <c r="B623" s="155" t="s">
        <v>202</v>
      </c>
      <c r="C623" s="155"/>
      <c r="D623" s="155"/>
    </row>
    <row r="624" spans="2:4" ht="15.75">
      <c r="B624" s="2"/>
      <c r="C624" s="2"/>
      <c r="D624" s="2"/>
    </row>
    <row r="625" spans="1:4" ht="14.25">
      <c r="A625" s="8"/>
      <c r="B625" s="115" t="s">
        <v>4</v>
      </c>
      <c r="C625" s="116">
        <v>2756.08</v>
      </c>
      <c r="D625" s="5"/>
    </row>
    <row r="626" spans="1:4" ht="12.75">
      <c r="A626" s="8"/>
      <c r="B626" s="48" t="s">
        <v>24</v>
      </c>
      <c r="C626" s="49">
        <v>5.88</v>
      </c>
      <c r="D626" s="13"/>
    </row>
    <row r="627" spans="1:4" ht="12.75">
      <c r="A627" s="8"/>
      <c r="B627" s="50" t="s">
        <v>6</v>
      </c>
      <c r="C627" s="49">
        <v>10.06</v>
      </c>
      <c r="D627" s="13"/>
    </row>
    <row r="628" spans="1:4" ht="18.75">
      <c r="A628" s="18"/>
      <c r="B628" s="16" t="s">
        <v>7</v>
      </c>
      <c r="C628" s="51">
        <f>20269.29+15826.16+24784.75+34631.86</f>
        <v>95512.06</v>
      </c>
      <c r="D628" s="5"/>
    </row>
    <row r="629" spans="1:4" ht="18.75">
      <c r="A629" s="18" t="s">
        <v>203</v>
      </c>
      <c r="B629" s="19" t="s">
        <v>25</v>
      </c>
      <c r="C629" s="51">
        <f>C630+C631</f>
        <v>717333.71</v>
      </c>
      <c r="D629" s="5"/>
    </row>
    <row r="630" spans="1:4" ht="15">
      <c r="A630" s="18" t="s">
        <v>93</v>
      </c>
      <c r="B630" s="23" t="s">
        <v>204</v>
      </c>
      <c r="C630" s="24">
        <f>194523.61+332864.16</f>
        <v>527387.77</v>
      </c>
      <c r="D630" s="5"/>
    </row>
    <row r="631" spans="1:4" ht="15">
      <c r="A631" s="18" t="s">
        <v>95</v>
      </c>
      <c r="B631" s="23" t="s">
        <v>96</v>
      </c>
      <c r="C631" s="24">
        <f>67150.88+122795.06</f>
        <v>189945.94</v>
      </c>
      <c r="D631" s="5"/>
    </row>
    <row r="632" spans="1:4" ht="18">
      <c r="A632" s="18" t="s">
        <v>205</v>
      </c>
      <c r="B632" s="19" t="s">
        <v>28</v>
      </c>
      <c r="C632" s="20">
        <f>C633+C634</f>
        <v>708282.9</v>
      </c>
      <c r="D632" s="5"/>
    </row>
    <row r="633" spans="1:4" ht="15.75">
      <c r="A633" s="18" t="s">
        <v>29</v>
      </c>
      <c r="B633" s="89" t="s">
        <v>231</v>
      </c>
      <c r="C633" s="35">
        <f>190318.77+325649.74</f>
        <v>515968.51</v>
      </c>
      <c r="D633" s="5"/>
    </row>
    <row r="634" spans="1:4" ht="15.75">
      <c r="A634" s="18" t="s">
        <v>31</v>
      </c>
      <c r="B634" s="89" t="s">
        <v>98</v>
      </c>
      <c r="C634" s="35">
        <f>68013.55+124300.84</f>
        <v>192314.39</v>
      </c>
      <c r="D634" s="5"/>
    </row>
    <row r="635" spans="1:4" ht="36">
      <c r="A635" s="18">
        <v>3</v>
      </c>
      <c r="B635" s="53" t="s">
        <v>12</v>
      </c>
      <c r="C635" s="54">
        <f>C636+C638</f>
        <v>886567.9755</v>
      </c>
      <c r="D635" s="5"/>
    </row>
    <row r="636" spans="1:4" ht="18.75">
      <c r="A636" s="18" t="s">
        <v>207</v>
      </c>
      <c r="B636" s="92" t="s">
        <v>32</v>
      </c>
      <c r="C636" s="56">
        <f>C637</f>
        <v>273980.98</v>
      </c>
      <c r="D636" s="5"/>
    </row>
    <row r="637" spans="1:4" ht="15.75">
      <c r="A637" s="18" t="s">
        <v>208</v>
      </c>
      <c r="B637" s="92" t="s">
        <v>99</v>
      </c>
      <c r="C637" s="93">
        <f>4654*58.87</f>
        <v>273980.98</v>
      </c>
      <c r="D637" s="5"/>
    </row>
    <row r="638" spans="1:4" ht="18.75">
      <c r="A638" s="18" t="s">
        <v>209</v>
      </c>
      <c r="B638" s="92" t="s">
        <v>36</v>
      </c>
      <c r="C638" s="56">
        <f>C639+C640+C641+C642+C643+C644+C645+C646</f>
        <v>612586.9955</v>
      </c>
      <c r="D638" s="5"/>
    </row>
    <row r="639" spans="1:4" ht="25.5">
      <c r="A639" s="31" t="s">
        <v>210</v>
      </c>
      <c r="B639" s="123" t="s">
        <v>211</v>
      </c>
      <c r="C639" s="59">
        <v>75131.59</v>
      </c>
      <c r="D639" s="5"/>
    </row>
    <row r="640" spans="1:4" ht="12.75">
      <c r="A640" s="18" t="s">
        <v>37</v>
      </c>
      <c r="B640" s="118" t="s">
        <v>212</v>
      </c>
      <c r="C640" s="61">
        <v>854.91</v>
      </c>
      <c r="D640" s="5"/>
    </row>
    <row r="641" spans="1:4" ht="12.75">
      <c r="A641" s="18" t="s">
        <v>100</v>
      </c>
      <c r="B641" s="111" t="s">
        <v>214</v>
      </c>
      <c r="C641" s="61">
        <v>15551.46</v>
      </c>
      <c r="D641" s="5"/>
    </row>
    <row r="642" spans="1:4" ht="12.75">
      <c r="A642" s="31" t="s">
        <v>40</v>
      </c>
      <c r="B642" s="118" t="s">
        <v>232</v>
      </c>
      <c r="C642" s="61">
        <f>8.7*230*12</f>
        <v>24011.999999999996</v>
      </c>
      <c r="D642" s="5"/>
    </row>
    <row r="643" spans="1:4" ht="12.75">
      <c r="A643" s="31" t="s">
        <v>42</v>
      </c>
      <c r="B643" s="111" t="s">
        <v>213</v>
      </c>
      <c r="C643" s="61">
        <v>92187.14</v>
      </c>
      <c r="D643" s="5"/>
    </row>
    <row r="644" spans="1:4" ht="12.75">
      <c r="A644" s="31" t="s">
        <v>43</v>
      </c>
      <c r="B644" s="66" t="s">
        <v>233</v>
      </c>
      <c r="C644" s="61">
        <v>310</v>
      </c>
      <c r="D644" s="5"/>
    </row>
    <row r="645" spans="1:4" ht="12.75">
      <c r="A645" s="31" t="s">
        <v>45</v>
      </c>
      <c r="B645" s="118" t="s">
        <v>216</v>
      </c>
      <c r="C645" s="61">
        <f>C630*0.15</f>
        <v>79108.1655</v>
      </c>
      <c r="D645" s="5"/>
    </row>
    <row r="646" spans="1:4" ht="12.75">
      <c r="A646" s="8" t="s">
        <v>134</v>
      </c>
      <c r="B646" s="118" t="s">
        <v>217</v>
      </c>
      <c r="C646" s="61">
        <v>325431.73</v>
      </c>
      <c r="D646" s="5"/>
    </row>
    <row r="647" spans="1:4" ht="12.75">
      <c r="A647" s="8"/>
      <c r="B647" s="124"/>
      <c r="C647" s="125"/>
      <c r="D647" s="5"/>
    </row>
    <row r="648" spans="1:4" ht="30">
      <c r="A648" s="8"/>
      <c r="B648" s="68" t="s">
        <v>234</v>
      </c>
      <c r="C648" s="69">
        <f>C632-C635</f>
        <v>-178285.07549999992</v>
      </c>
      <c r="D648" s="5"/>
    </row>
    <row r="649" spans="1:4" ht="15.75">
      <c r="A649" s="8"/>
      <c r="B649" s="68" t="s">
        <v>136</v>
      </c>
      <c r="C649" s="69">
        <v>62590.12</v>
      </c>
      <c r="D649" s="5"/>
    </row>
    <row r="650" spans="1:4" ht="15.75">
      <c r="A650" s="8"/>
      <c r="B650" s="68" t="s">
        <v>76</v>
      </c>
      <c r="C650" s="69">
        <f>C648+C649</f>
        <v>-115694.95549999992</v>
      </c>
      <c r="D650" s="5"/>
    </row>
    <row r="651" spans="1:4" ht="15.75">
      <c r="A651" s="8"/>
      <c r="B651" s="68"/>
      <c r="C651" s="69"/>
      <c r="D651" s="5"/>
    </row>
    <row r="652" spans="1:4" ht="30">
      <c r="A652" s="8"/>
      <c r="B652" s="68" t="s">
        <v>51</v>
      </c>
      <c r="C652" s="69">
        <f>C632-(C628+C629)</f>
        <v>-104562.87</v>
      </c>
      <c r="D652" s="5"/>
    </row>
    <row r="653" spans="1:4" ht="15.75">
      <c r="A653" s="8"/>
      <c r="B653" s="68" t="s">
        <v>52</v>
      </c>
      <c r="C653" s="69">
        <v>-66320.41</v>
      </c>
      <c r="D653" s="5"/>
    </row>
    <row r="654" spans="1:4" ht="15.75">
      <c r="A654" s="8"/>
      <c r="B654" s="68" t="s">
        <v>107</v>
      </c>
      <c r="C654" s="69">
        <v>-38242.46</v>
      </c>
      <c r="D654" s="5"/>
    </row>
    <row r="655" spans="1:4" ht="15.75">
      <c r="A655" s="65"/>
      <c r="B655" s="126"/>
      <c r="C655" s="114"/>
      <c r="D655" s="5"/>
    </row>
    <row r="656" spans="1:4" ht="12.75">
      <c r="A656" s="65"/>
      <c r="B656" t="s">
        <v>108</v>
      </c>
      <c r="D656" s="5"/>
    </row>
    <row r="657" ht="12.75">
      <c r="B657" t="s">
        <v>109</v>
      </c>
    </row>
    <row r="658" spans="2:3" ht="12.75">
      <c r="B658" t="s">
        <v>235</v>
      </c>
      <c r="C658" s="97">
        <f>4654*58.87</f>
        <v>273980.98</v>
      </c>
    </row>
    <row r="659" spans="2:3" ht="12.75">
      <c r="B659" t="s">
        <v>236</v>
      </c>
      <c r="C659" s="97">
        <f>3284.04*58.87</f>
        <v>193331.4348</v>
      </c>
    </row>
    <row r="660" spans="2:3" ht="15">
      <c r="B660" s="98" t="s">
        <v>237</v>
      </c>
      <c r="C660" s="99">
        <f>C658-C659</f>
        <v>80649.5452</v>
      </c>
    </row>
    <row r="661" ht="54" customHeight="1"/>
    <row r="662" spans="2:4" ht="15">
      <c r="B662" s="152" t="s">
        <v>0</v>
      </c>
      <c r="C662" s="152"/>
      <c r="D662" s="152"/>
    </row>
    <row r="663" spans="2:4" ht="15">
      <c r="B663" s="153" t="s">
        <v>91</v>
      </c>
      <c r="C663" s="153"/>
      <c r="D663" s="1"/>
    </row>
    <row r="664" spans="2:4" ht="18.75">
      <c r="B664" s="154" t="s">
        <v>238</v>
      </c>
      <c r="C664" s="154"/>
      <c r="D664" s="154"/>
    </row>
    <row r="665" spans="2:4" ht="15.75">
      <c r="B665" s="155" t="s">
        <v>3</v>
      </c>
      <c r="C665" s="155"/>
      <c r="D665" s="155"/>
    </row>
    <row r="666" spans="2:4" ht="14.25">
      <c r="B666" s="6"/>
      <c r="C666" s="7"/>
      <c r="D666" s="5"/>
    </row>
    <row r="667" spans="1:4" ht="15">
      <c r="A667" s="8"/>
      <c r="B667" s="46" t="s">
        <v>4</v>
      </c>
      <c r="C667" s="47">
        <v>2478.3</v>
      </c>
      <c r="D667" s="5"/>
    </row>
    <row r="668" spans="1:4" ht="12.75">
      <c r="A668" s="8"/>
      <c r="B668" s="48" t="s">
        <v>24</v>
      </c>
      <c r="C668" s="49">
        <v>5.33</v>
      </c>
      <c r="D668" s="13"/>
    </row>
    <row r="669" spans="1:4" ht="12.75">
      <c r="A669" s="8"/>
      <c r="B669" s="50" t="s">
        <v>6</v>
      </c>
      <c r="C669" s="49">
        <v>9.16</v>
      </c>
      <c r="D669" s="13"/>
    </row>
    <row r="670" spans="1:4" ht="18.75">
      <c r="A670" s="8"/>
      <c r="B670" s="16" t="s">
        <v>7</v>
      </c>
      <c r="C670" s="51">
        <f>15574.55+10679.94+20442.89+26748.68</f>
        <v>73446.06</v>
      </c>
      <c r="D670" s="13"/>
    </row>
    <row r="671" spans="1:4" ht="18.75">
      <c r="A671" s="18">
        <v>1</v>
      </c>
      <c r="B671" s="19" t="s">
        <v>25</v>
      </c>
      <c r="C671" s="51">
        <f>C672+C673</f>
        <v>667289.36</v>
      </c>
      <c r="D671" s="5"/>
    </row>
    <row r="672" spans="1:4" ht="15">
      <c r="A672" s="18" t="s">
        <v>93</v>
      </c>
      <c r="B672" s="23" t="s">
        <v>204</v>
      </c>
      <c r="C672" s="24">
        <f>158505.91+272403.97</f>
        <v>430909.88</v>
      </c>
      <c r="D672" s="5"/>
    </row>
    <row r="673" spans="1:4" ht="15">
      <c r="A673" s="18" t="s">
        <v>95</v>
      </c>
      <c r="B673" s="23" t="s">
        <v>96</v>
      </c>
      <c r="C673" s="24">
        <f>83517.76+152861.72</f>
        <v>236379.47999999998</v>
      </c>
      <c r="D673" s="5"/>
    </row>
    <row r="674" spans="1:4" ht="18">
      <c r="A674" s="18">
        <v>2</v>
      </c>
      <c r="B674" s="19" t="s">
        <v>28</v>
      </c>
      <c r="C674" s="20">
        <f>C675+C676</f>
        <v>638810.18</v>
      </c>
      <c r="D674" s="13"/>
    </row>
    <row r="675" spans="1:4" ht="15.75">
      <c r="A675" s="18" t="s">
        <v>29</v>
      </c>
      <c r="B675" s="89" t="s">
        <v>231</v>
      </c>
      <c r="C675" s="35">
        <f>154876.1+266154.69</f>
        <v>421030.79000000004</v>
      </c>
      <c r="D675" s="13"/>
    </row>
    <row r="676" spans="1:4" ht="15.75">
      <c r="A676" s="18" t="s">
        <v>31</v>
      </c>
      <c r="B676" s="89" t="s">
        <v>98</v>
      </c>
      <c r="C676" s="35">
        <f>76809.59+140969.8</f>
        <v>217779.38999999998</v>
      </c>
      <c r="D676" s="5"/>
    </row>
    <row r="677" spans="1:4" ht="36">
      <c r="A677" s="18">
        <v>5</v>
      </c>
      <c r="B677" s="53" t="s">
        <v>12</v>
      </c>
      <c r="C677" s="56">
        <f>C678+C680</f>
        <v>578156.952</v>
      </c>
      <c r="D677" s="13"/>
    </row>
    <row r="678" spans="1:4" ht="18.75">
      <c r="A678" s="91" t="s">
        <v>33</v>
      </c>
      <c r="B678" s="92" t="s">
        <v>32</v>
      </c>
      <c r="C678" s="56">
        <f>C679</f>
        <v>306712.7</v>
      </c>
      <c r="D678" s="13"/>
    </row>
    <row r="679" spans="1:4" ht="15.75">
      <c r="A679" s="18"/>
      <c r="B679" s="92" t="s">
        <v>99</v>
      </c>
      <c r="C679" s="93">
        <f>5210*58.87</f>
        <v>306712.7</v>
      </c>
      <c r="D679" s="13"/>
    </row>
    <row r="680" spans="1:4" ht="18.75">
      <c r="A680" s="18" t="s">
        <v>35</v>
      </c>
      <c r="B680" s="92" t="s">
        <v>36</v>
      </c>
      <c r="C680" s="56">
        <f>C681+C682+C683+C684+C685+C686+C687+C688+C689</f>
        <v>271444.252</v>
      </c>
      <c r="D680" s="13"/>
    </row>
    <row r="681" spans="1:4" ht="38.25">
      <c r="A681" s="31" t="s">
        <v>37</v>
      </c>
      <c r="B681" s="32" t="s">
        <v>14</v>
      </c>
      <c r="C681" s="59">
        <v>80480.27</v>
      </c>
      <c r="D681" s="5"/>
    </row>
    <row r="682" spans="1:4" ht="12.75">
      <c r="A682" s="18" t="s">
        <v>38</v>
      </c>
      <c r="B682" s="60" t="s">
        <v>39</v>
      </c>
      <c r="C682" s="61">
        <v>83.83</v>
      </c>
      <c r="D682" s="5"/>
    </row>
    <row r="683" spans="1:4" ht="12.75">
      <c r="A683" s="18" t="s">
        <v>100</v>
      </c>
      <c r="B683" s="62" t="s">
        <v>101</v>
      </c>
      <c r="C683" s="61">
        <v>61130.16</v>
      </c>
      <c r="D683" s="5"/>
    </row>
    <row r="684" spans="1:4" ht="12.75">
      <c r="A684" s="18" t="s">
        <v>40</v>
      </c>
      <c r="B684" s="62" t="s">
        <v>41</v>
      </c>
      <c r="C684" s="61">
        <v>18857.61</v>
      </c>
      <c r="D684" s="5"/>
    </row>
    <row r="685" spans="1:4" ht="12.75">
      <c r="A685" s="31" t="s">
        <v>42</v>
      </c>
      <c r="B685" s="60" t="s">
        <v>239</v>
      </c>
      <c r="C685" s="61">
        <f>11.5*230*12</f>
        <v>31740</v>
      </c>
      <c r="D685" s="5"/>
    </row>
    <row r="686" spans="1:4" ht="12.75">
      <c r="A686" s="127"/>
      <c r="B686" s="66" t="s">
        <v>240</v>
      </c>
      <c r="C686" s="61">
        <v>620</v>
      </c>
      <c r="D686" s="5"/>
    </row>
    <row r="687" spans="1:4" ht="12.75">
      <c r="A687" s="31" t="s">
        <v>134</v>
      </c>
      <c r="B687" s="87" t="s">
        <v>241</v>
      </c>
      <c r="C687" s="61">
        <v>550</v>
      </c>
      <c r="D687" s="5"/>
    </row>
    <row r="688" spans="1:4" ht="12.75">
      <c r="A688" s="31" t="s">
        <v>103</v>
      </c>
      <c r="B688" s="60" t="s">
        <v>44</v>
      </c>
      <c r="C688" s="61">
        <f>C672*0.15</f>
        <v>64636.481999999996</v>
      </c>
      <c r="D688" s="5"/>
    </row>
    <row r="689" spans="1:4" ht="12.75">
      <c r="A689" s="18" t="s">
        <v>104</v>
      </c>
      <c r="B689" s="60" t="s">
        <v>46</v>
      </c>
      <c r="C689" s="128">
        <v>13345.9</v>
      </c>
      <c r="D689" s="13"/>
    </row>
    <row r="690" spans="1:4" ht="12.75">
      <c r="A690" s="18"/>
      <c r="B690" s="60"/>
      <c r="C690" s="128"/>
      <c r="D690" s="13"/>
    </row>
    <row r="691" spans="1:4" ht="30">
      <c r="A691" s="8"/>
      <c r="B691" s="68" t="s">
        <v>242</v>
      </c>
      <c r="C691" s="69">
        <f>C674-C677</f>
        <v>60653.228</v>
      </c>
      <c r="D691" s="13"/>
    </row>
    <row r="692" spans="1:4" ht="30">
      <c r="A692" s="8"/>
      <c r="B692" s="68" t="s">
        <v>243</v>
      </c>
      <c r="C692" s="69">
        <v>-149148.04</v>
      </c>
      <c r="D692" s="13"/>
    </row>
    <row r="693" spans="1:4" ht="15.75">
      <c r="A693" s="8"/>
      <c r="B693" s="68" t="s">
        <v>76</v>
      </c>
      <c r="C693" s="69">
        <f>C691+C692</f>
        <v>-88494.812</v>
      </c>
      <c r="D693" s="13"/>
    </row>
    <row r="694" spans="1:4" ht="15.75">
      <c r="A694" s="8"/>
      <c r="B694" s="68"/>
      <c r="C694" s="69"/>
      <c r="D694" s="5"/>
    </row>
    <row r="695" spans="1:4" ht="30">
      <c r="A695" s="8"/>
      <c r="B695" s="68" t="s">
        <v>51</v>
      </c>
      <c r="C695" s="69">
        <f>C674-(C670+C671)</f>
        <v>-101925.23999999987</v>
      </c>
      <c r="D695" s="13"/>
    </row>
    <row r="696" spans="1:4" ht="15.75">
      <c r="A696" s="8"/>
      <c r="B696" s="68" t="s">
        <v>52</v>
      </c>
      <c r="C696" s="69">
        <v>-52202.32</v>
      </c>
      <c r="D696" s="5"/>
    </row>
    <row r="697" spans="1:4" ht="15.75">
      <c r="A697" s="8"/>
      <c r="B697" s="68" t="s">
        <v>107</v>
      </c>
      <c r="C697" s="69">
        <v>-49722.92</v>
      </c>
      <c r="D697" s="5"/>
    </row>
    <row r="698" spans="1:3" ht="15.75">
      <c r="A698" s="8"/>
      <c r="B698" s="87" t="s">
        <v>244</v>
      </c>
      <c r="C698" s="35">
        <v>17052.12</v>
      </c>
    </row>
    <row r="699" spans="1:3" ht="15.75">
      <c r="A699" s="65"/>
      <c r="B699" s="129" t="s">
        <v>245</v>
      </c>
      <c r="C699" s="35">
        <f>2309.8+901.98</f>
        <v>3211.78</v>
      </c>
    </row>
    <row r="700" spans="1:3" ht="15.75">
      <c r="A700" s="65"/>
      <c r="B700" s="130"/>
      <c r="C700" s="131"/>
    </row>
    <row r="701" ht="12.75">
      <c r="B701" t="s">
        <v>108</v>
      </c>
    </row>
    <row r="702" ht="12.75">
      <c r="B702" t="s">
        <v>171</v>
      </c>
    </row>
    <row r="703" spans="2:3" ht="12.75">
      <c r="B703" t="s">
        <v>246</v>
      </c>
      <c r="C703" s="97">
        <f>5210*58.87</f>
        <v>306712.7</v>
      </c>
    </row>
    <row r="704" spans="2:3" ht="12.75">
      <c r="B704" t="s">
        <v>247</v>
      </c>
      <c r="C704" s="97">
        <f>4015.4*58.87</f>
        <v>236386.598</v>
      </c>
    </row>
    <row r="705" spans="2:3" ht="15">
      <c r="B705" s="98" t="s">
        <v>248</v>
      </c>
      <c r="C705" s="99">
        <f>C703-C704</f>
        <v>70326.10200000001</v>
      </c>
    </row>
    <row r="706" ht="51.75" customHeight="1"/>
    <row r="707" spans="2:4" ht="15">
      <c r="B707" s="152" t="s">
        <v>0</v>
      </c>
      <c r="C707" s="152"/>
      <c r="D707" s="152"/>
    </row>
    <row r="708" spans="2:4" ht="15">
      <c r="B708" s="153" t="s">
        <v>91</v>
      </c>
      <c r="C708" s="153"/>
      <c r="D708" s="1"/>
    </row>
    <row r="709" spans="2:4" ht="18.75">
      <c r="B709" s="154" t="s">
        <v>249</v>
      </c>
      <c r="C709" s="154"/>
      <c r="D709" s="154"/>
    </row>
    <row r="710" spans="2:4" ht="15.75">
      <c r="B710" s="155" t="s">
        <v>3</v>
      </c>
      <c r="C710" s="155"/>
      <c r="D710" s="155"/>
    </row>
    <row r="711" spans="2:4" ht="14.25">
      <c r="B711" s="6"/>
      <c r="C711" s="132"/>
      <c r="D711" s="5"/>
    </row>
    <row r="712" spans="1:4" ht="15">
      <c r="A712" s="8"/>
      <c r="B712" s="46" t="s">
        <v>4</v>
      </c>
      <c r="C712" s="47">
        <v>288</v>
      </c>
      <c r="D712" s="5"/>
    </row>
    <row r="713" spans="1:4" ht="12.75">
      <c r="A713" s="8"/>
      <c r="B713" s="48" t="s">
        <v>24</v>
      </c>
      <c r="C713" s="49">
        <v>5.33</v>
      </c>
      <c r="D713" s="13"/>
    </row>
    <row r="714" spans="1:4" ht="12.75">
      <c r="A714" s="8"/>
      <c r="B714" s="50" t="s">
        <v>6</v>
      </c>
      <c r="C714" s="49">
        <v>9.16</v>
      </c>
      <c r="D714" s="13"/>
    </row>
    <row r="715" spans="1:4" ht="18.75">
      <c r="A715" s="8"/>
      <c r="B715" s="16" t="s">
        <v>7</v>
      </c>
      <c r="C715" s="51">
        <v>0</v>
      </c>
      <c r="D715" s="13"/>
    </row>
    <row r="716" spans="1:4" ht="18.75">
      <c r="A716" s="18">
        <v>1</v>
      </c>
      <c r="B716" s="19" t="s">
        <v>25</v>
      </c>
      <c r="C716" s="51">
        <f>C717+C718</f>
        <v>75862.53</v>
      </c>
      <c r="D716" s="5"/>
    </row>
    <row r="717" spans="1:4" ht="15">
      <c r="A717" s="18" t="s">
        <v>93</v>
      </c>
      <c r="B717" s="23" t="s">
        <v>204</v>
      </c>
      <c r="C717" s="24">
        <f>18420.48+31656.96</f>
        <v>50077.44</v>
      </c>
      <c r="D717" s="5"/>
    </row>
    <row r="718" spans="1:4" ht="15">
      <c r="A718" s="18" t="s">
        <v>95</v>
      </c>
      <c r="B718" s="23" t="s">
        <v>96</v>
      </c>
      <c r="C718" s="24">
        <f>9110.4+16674.69</f>
        <v>25785.089999999997</v>
      </c>
      <c r="D718" s="5"/>
    </row>
    <row r="719" spans="1:4" ht="18">
      <c r="A719" s="18">
        <v>2</v>
      </c>
      <c r="B719" s="19" t="s">
        <v>28</v>
      </c>
      <c r="C719" s="20">
        <f>C720+C721</f>
        <v>75862.59999999999</v>
      </c>
      <c r="D719" s="13"/>
    </row>
    <row r="720" spans="1:4" ht="15.75">
      <c r="A720" s="18" t="s">
        <v>29</v>
      </c>
      <c r="B720" s="89" t="s">
        <v>206</v>
      </c>
      <c r="C720" s="35">
        <f>18420.5+31656.98</f>
        <v>50077.479999999996</v>
      </c>
      <c r="D720" s="13"/>
    </row>
    <row r="721" spans="1:4" ht="15.75">
      <c r="A721" s="18" t="s">
        <v>31</v>
      </c>
      <c r="B721" s="89" t="s">
        <v>98</v>
      </c>
      <c r="C721" s="35">
        <f>9110.41+16674.71</f>
        <v>25785.12</v>
      </c>
      <c r="D721" s="5"/>
    </row>
    <row r="722" spans="1:4" ht="36">
      <c r="A722" s="18">
        <v>5</v>
      </c>
      <c r="B722" s="53" t="s">
        <v>12</v>
      </c>
      <c r="C722" s="56">
        <f>C723+C725</f>
        <v>47829.865999999995</v>
      </c>
      <c r="D722" s="13"/>
    </row>
    <row r="723" spans="1:4" ht="18.75">
      <c r="A723" s="91" t="s">
        <v>33</v>
      </c>
      <c r="B723" s="92" t="s">
        <v>32</v>
      </c>
      <c r="C723" s="56">
        <f>C724</f>
        <v>29847.09</v>
      </c>
      <c r="D723" s="13"/>
    </row>
    <row r="724" spans="1:4" ht="15.75">
      <c r="A724" s="18"/>
      <c r="B724" s="92" t="s">
        <v>99</v>
      </c>
      <c r="C724" s="93">
        <f>507*58.87</f>
        <v>29847.09</v>
      </c>
      <c r="D724" s="13"/>
    </row>
    <row r="725" spans="1:4" ht="18.75">
      <c r="A725" s="18" t="s">
        <v>35</v>
      </c>
      <c r="B725" s="92" t="s">
        <v>36</v>
      </c>
      <c r="C725" s="56">
        <f>C726+C727+C728+C729+C730+C731</f>
        <v>17982.775999999998</v>
      </c>
      <c r="D725" s="13"/>
    </row>
    <row r="726" spans="1:4" ht="38.25">
      <c r="A726" s="31" t="s">
        <v>37</v>
      </c>
      <c r="B726" s="32" t="s">
        <v>14</v>
      </c>
      <c r="C726" s="59">
        <v>8179.83</v>
      </c>
      <c r="D726" s="5"/>
    </row>
    <row r="727" spans="1:4" ht="12.75">
      <c r="A727" s="18" t="s">
        <v>38</v>
      </c>
      <c r="B727" s="60" t="s">
        <v>39</v>
      </c>
      <c r="C727" s="61">
        <v>41.06</v>
      </c>
      <c r="D727" s="5"/>
    </row>
    <row r="728" spans="1:4" ht="12.75">
      <c r="A728" s="18" t="s">
        <v>40</v>
      </c>
      <c r="B728" s="62" t="s">
        <v>41</v>
      </c>
      <c r="C728" s="61">
        <v>594.27</v>
      </c>
      <c r="D728" s="5"/>
    </row>
    <row r="729" spans="1:4" ht="12.75">
      <c r="A729" s="31" t="s">
        <v>42</v>
      </c>
      <c r="B729" s="60" t="s">
        <v>250</v>
      </c>
      <c r="C729" s="61">
        <f>0.6*230*12</f>
        <v>1656</v>
      </c>
      <c r="D729" s="5"/>
    </row>
    <row r="730" spans="1:4" ht="12.75">
      <c r="A730" s="31" t="s">
        <v>103</v>
      </c>
      <c r="B730" s="60" t="s">
        <v>44</v>
      </c>
      <c r="C730" s="61">
        <f>C717*0.15</f>
        <v>7511.616</v>
      </c>
      <c r="D730" s="5"/>
    </row>
    <row r="731" spans="1:4" ht="12.75">
      <c r="A731" s="18" t="s">
        <v>104</v>
      </c>
      <c r="B731" s="60" t="s">
        <v>46</v>
      </c>
      <c r="C731" s="128">
        <v>0</v>
      </c>
      <c r="D731" s="13"/>
    </row>
    <row r="732" spans="1:4" ht="12.75">
      <c r="A732" s="18"/>
      <c r="B732" s="63"/>
      <c r="C732" s="133"/>
      <c r="D732" s="13"/>
    </row>
    <row r="733" spans="1:4" ht="30">
      <c r="A733" s="8"/>
      <c r="B733" s="68" t="s">
        <v>242</v>
      </c>
      <c r="C733" s="69">
        <f>C719-C722</f>
        <v>28032.733999999997</v>
      </c>
      <c r="D733" s="5"/>
    </row>
    <row r="734" spans="1:4" ht="30">
      <c r="A734" s="8"/>
      <c r="B734" s="68" t="s">
        <v>243</v>
      </c>
      <c r="C734" s="69">
        <v>-41774.58</v>
      </c>
      <c r="D734" s="5"/>
    </row>
    <row r="735" spans="1:4" ht="15.75">
      <c r="A735" s="8"/>
      <c r="B735" s="68" t="s">
        <v>76</v>
      </c>
      <c r="C735" s="69">
        <f>C733+C734</f>
        <v>-13741.846000000005</v>
      </c>
      <c r="D735" s="5"/>
    </row>
    <row r="736" spans="1:4" ht="15.75">
      <c r="A736" s="8"/>
      <c r="B736" s="68"/>
      <c r="C736" s="134"/>
      <c r="D736" s="5"/>
    </row>
    <row r="737" spans="1:4" ht="30">
      <c r="A737" s="8"/>
      <c r="B737" s="68" t="s">
        <v>51</v>
      </c>
      <c r="C737" s="69">
        <v>0</v>
      </c>
      <c r="D737" s="13"/>
    </row>
    <row r="738" spans="1:4" ht="15.75">
      <c r="A738" s="8"/>
      <c r="B738" s="68" t="s">
        <v>52</v>
      </c>
      <c r="C738" s="69">
        <v>0</v>
      </c>
      <c r="D738" s="5"/>
    </row>
    <row r="739" spans="1:4" ht="15.75">
      <c r="A739" s="8"/>
      <c r="B739" s="68" t="s">
        <v>107</v>
      </c>
      <c r="C739" s="69">
        <v>0</v>
      </c>
      <c r="D739" s="5"/>
    </row>
    <row r="740" spans="1:3" ht="15.75">
      <c r="A740" s="65"/>
      <c r="B740" s="130"/>
      <c r="C740" s="135"/>
    </row>
    <row r="741" ht="12.75">
      <c r="B741" t="s">
        <v>108</v>
      </c>
    </row>
    <row r="742" ht="12.75">
      <c r="B742" t="s">
        <v>171</v>
      </c>
    </row>
    <row r="743" spans="2:3" ht="12.75">
      <c r="B743" t="s">
        <v>251</v>
      </c>
      <c r="C743" s="97">
        <f>507*58.87</f>
        <v>29847.09</v>
      </c>
    </row>
    <row r="744" spans="2:3" ht="12.75">
      <c r="B744" t="s">
        <v>252</v>
      </c>
      <c r="C744" s="97">
        <f>438*58.87</f>
        <v>25785.059999999998</v>
      </c>
    </row>
    <row r="745" spans="2:3" ht="15">
      <c r="B745" s="98" t="s">
        <v>253</v>
      </c>
      <c r="C745" s="99">
        <f>C743-C744</f>
        <v>4062.0300000000025</v>
      </c>
    </row>
    <row r="746" ht="52.5" customHeight="1"/>
    <row r="747" spans="2:4" ht="15">
      <c r="B747" s="152" t="s">
        <v>0</v>
      </c>
      <c r="C747" s="152"/>
      <c r="D747" s="152"/>
    </row>
    <row r="748" spans="2:4" ht="15">
      <c r="B748" s="153" t="s">
        <v>91</v>
      </c>
      <c r="C748" s="153"/>
      <c r="D748" s="1"/>
    </row>
    <row r="749" spans="2:4" ht="18.75">
      <c r="B749" s="154" t="s">
        <v>254</v>
      </c>
      <c r="C749" s="154"/>
      <c r="D749" s="154"/>
    </row>
    <row r="750" spans="2:4" ht="15.75">
      <c r="B750" s="155" t="s">
        <v>3</v>
      </c>
      <c r="C750" s="155"/>
      <c r="D750" s="155"/>
    </row>
    <row r="751" spans="2:4" ht="14.25">
      <c r="B751" s="6"/>
      <c r="C751" s="7"/>
      <c r="D751" s="5"/>
    </row>
    <row r="752" spans="1:4" ht="15">
      <c r="A752" s="8"/>
      <c r="B752" s="46" t="s">
        <v>4</v>
      </c>
      <c r="C752" s="47">
        <v>1067.54</v>
      </c>
      <c r="D752" s="5"/>
    </row>
    <row r="753" spans="1:4" ht="12.75">
      <c r="A753" s="8"/>
      <c r="B753" s="48" t="s">
        <v>24</v>
      </c>
      <c r="C753" s="49">
        <v>5.33</v>
      </c>
      <c r="D753" s="13"/>
    </row>
    <row r="754" spans="1:4" ht="12.75">
      <c r="A754" s="8"/>
      <c r="B754" s="50" t="s">
        <v>6</v>
      </c>
      <c r="C754" s="49">
        <v>9.16</v>
      </c>
      <c r="D754" s="13"/>
    </row>
    <row r="755" spans="1:4" ht="18.75">
      <c r="A755" s="8"/>
      <c r="B755" s="16" t="s">
        <v>7</v>
      </c>
      <c r="C755" s="51">
        <f>2304.62+3958.62+1844.58+3523.15</f>
        <v>11630.97</v>
      </c>
      <c r="D755" s="13"/>
    </row>
    <row r="756" spans="1:4" ht="18.75">
      <c r="A756" s="18">
        <v>1</v>
      </c>
      <c r="B756" s="19" t="s">
        <v>25</v>
      </c>
      <c r="C756" s="51">
        <f>C757+C758</f>
        <v>316746.02999999997</v>
      </c>
      <c r="D756" s="5"/>
    </row>
    <row r="757" spans="1:4" ht="15">
      <c r="A757" s="18" t="s">
        <v>93</v>
      </c>
      <c r="B757" s="23" t="s">
        <v>94</v>
      </c>
      <c r="C757" s="24">
        <f>68283.59+117350.52</f>
        <v>185634.11</v>
      </c>
      <c r="D757" s="5"/>
    </row>
    <row r="758" spans="1:4" ht="15">
      <c r="A758" s="18" t="s">
        <v>95</v>
      </c>
      <c r="B758" s="23" t="s">
        <v>96</v>
      </c>
      <c r="C758" s="24">
        <f>46324.55+84787.37</f>
        <v>131111.91999999998</v>
      </c>
      <c r="D758" s="5"/>
    </row>
    <row r="759" spans="1:4" ht="18">
      <c r="A759" s="18">
        <v>2</v>
      </c>
      <c r="B759" s="19" t="s">
        <v>28</v>
      </c>
      <c r="C759" s="20">
        <f>C760+C761</f>
        <v>297824.16000000003</v>
      </c>
      <c r="D759" s="13"/>
    </row>
    <row r="760" spans="1:4" ht="15.75">
      <c r="A760" s="18" t="s">
        <v>29</v>
      </c>
      <c r="B760" s="89" t="s">
        <v>97</v>
      </c>
      <c r="C760" s="35">
        <f>65041.98+111777.53</f>
        <v>176819.51</v>
      </c>
      <c r="D760" s="13"/>
    </row>
    <row r="761" spans="1:4" ht="15.75">
      <c r="A761" s="18" t="s">
        <v>31</v>
      </c>
      <c r="B761" s="89" t="s">
        <v>98</v>
      </c>
      <c r="C761" s="35">
        <f>42701.84+78302.81</f>
        <v>121004.65</v>
      </c>
      <c r="D761" s="5"/>
    </row>
    <row r="762" spans="1:4" ht="36">
      <c r="A762" s="18">
        <v>5</v>
      </c>
      <c r="B762" s="53" t="s">
        <v>12</v>
      </c>
      <c r="C762" s="56">
        <f>C763+C765</f>
        <v>246897.0265</v>
      </c>
      <c r="D762" s="13"/>
    </row>
    <row r="763" spans="1:4" ht="18.75">
      <c r="A763" s="91" t="s">
        <v>33</v>
      </c>
      <c r="B763" s="92" t="s">
        <v>32</v>
      </c>
      <c r="C763" s="56">
        <f>C764</f>
        <v>122155.25</v>
      </c>
      <c r="D763" s="13"/>
    </row>
    <row r="764" spans="1:4" ht="15.75">
      <c r="A764" s="18"/>
      <c r="B764" s="92" t="s">
        <v>99</v>
      </c>
      <c r="C764" s="93">
        <f>2075*58.87</f>
        <v>122155.25</v>
      </c>
      <c r="D764" s="13"/>
    </row>
    <row r="765" spans="1:4" ht="18.75">
      <c r="A765" s="18" t="s">
        <v>35</v>
      </c>
      <c r="B765" s="92" t="s">
        <v>36</v>
      </c>
      <c r="C765" s="56">
        <f>C766+C767+C768+C769+C770+C771+C772+C773</f>
        <v>124741.7765</v>
      </c>
      <c r="D765" s="13"/>
    </row>
    <row r="766" spans="1:4" ht="38.25">
      <c r="A766" s="31" t="s">
        <v>37</v>
      </c>
      <c r="B766" s="32" t="s">
        <v>14</v>
      </c>
      <c r="C766" s="59">
        <v>29229.42</v>
      </c>
      <c r="D766" s="5"/>
    </row>
    <row r="767" spans="1:4" ht="12.75">
      <c r="A767" s="18" t="s">
        <v>38</v>
      </c>
      <c r="B767" s="60" t="s">
        <v>39</v>
      </c>
      <c r="C767" s="61">
        <v>108.18</v>
      </c>
      <c r="D767" s="5"/>
    </row>
    <row r="768" spans="1:4" ht="24">
      <c r="A768" s="18"/>
      <c r="B768" s="136" t="s">
        <v>255</v>
      </c>
      <c r="C768" s="59">
        <v>1382.16</v>
      </c>
      <c r="D768" s="5"/>
    </row>
    <row r="769" spans="1:4" ht="12.75">
      <c r="A769" s="18" t="s">
        <v>100</v>
      </c>
      <c r="B769" s="62" t="s">
        <v>101</v>
      </c>
      <c r="C769" s="61">
        <v>26624.09</v>
      </c>
      <c r="D769" s="5"/>
    </row>
    <row r="770" spans="1:4" ht="12.75">
      <c r="A770" s="31" t="s">
        <v>42</v>
      </c>
      <c r="B770" s="60" t="s">
        <v>256</v>
      </c>
      <c r="C770" s="61">
        <f>4.7*230*12</f>
        <v>12972</v>
      </c>
      <c r="D770" s="5"/>
    </row>
    <row r="771" spans="1:4" ht="12.75">
      <c r="A771" s="127" t="s">
        <v>43</v>
      </c>
      <c r="B771" s="66" t="s">
        <v>257</v>
      </c>
      <c r="C771" s="61">
        <v>1360</v>
      </c>
      <c r="D771" s="5"/>
    </row>
    <row r="772" spans="1:4" ht="12.75">
      <c r="A772" s="31" t="s">
        <v>103</v>
      </c>
      <c r="B772" s="60" t="s">
        <v>44</v>
      </c>
      <c r="C772" s="61">
        <f>C757*0.15</f>
        <v>27845.116499999996</v>
      </c>
      <c r="D772" s="5"/>
    </row>
    <row r="773" spans="1:4" ht="12.75">
      <c r="A773" s="18" t="s">
        <v>104</v>
      </c>
      <c r="B773" s="60" t="s">
        <v>46</v>
      </c>
      <c r="C773" s="128">
        <f>C775+C776+C777</f>
        <v>25220.81</v>
      </c>
      <c r="D773" s="13"/>
    </row>
    <row r="774" spans="1:4" ht="12.75">
      <c r="A774" s="18"/>
      <c r="B774" s="63" t="s">
        <v>47</v>
      </c>
      <c r="C774" s="61"/>
      <c r="D774" s="13"/>
    </row>
    <row r="775" spans="1:4" ht="12.75">
      <c r="A775" s="8"/>
      <c r="B775" s="87" t="s">
        <v>258</v>
      </c>
      <c r="C775" s="67">
        <v>2505.84</v>
      </c>
      <c r="D775" s="5"/>
    </row>
    <row r="776" spans="1:4" ht="12.75">
      <c r="A776" s="8"/>
      <c r="B776" s="66" t="s">
        <v>259</v>
      </c>
      <c r="C776" s="67">
        <v>654.97</v>
      </c>
      <c r="D776" s="5"/>
    </row>
    <row r="777" spans="1:4" ht="24">
      <c r="A777" s="8"/>
      <c r="B777" s="66" t="s">
        <v>260</v>
      </c>
      <c r="C777" s="67">
        <v>22060</v>
      </c>
      <c r="D777" s="5"/>
    </row>
    <row r="778" spans="1:4" ht="30">
      <c r="A778" s="8"/>
      <c r="B778" s="68" t="s">
        <v>242</v>
      </c>
      <c r="C778" s="69">
        <f>C759-C762</f>
        <v>50927.133500000025</v>
      </c>
      <c r="D778" s="5"/>
    </row>
    <row r="779" spans="1:4" ht="30">
      <c r="A779" s="8"/>
      <c r="B779" s="68" t="s">
        <v>243</v>
      </c>
      <c r="C779" s="69">
        <v>76232.56</v>
      </c>
      <c r="D779" s="5"/>
    </row>
    <row r="780" spans="1:4" ht="15.75">
      <c r="A780" s="8"/>
      <c r="B780" s="68" t="s">
        <v>76</v>
      </c>
      <c r="C780" s="69">
        <f>C778+C779</f>
        <v>127159.69350000002</v>
      </c>
      <c r="D780" s="5"/>
    </row>
    <row r="781" spans="1:4" ht="15.75">
      <c r="A781" s="8"/>
      <c r="B781" s="68"/>
      <c r="C781" s="69"/>
      <c r="D781" s="5"/>
    </row>
    <row r="782" spans="1:4" ht="30">
      <c r="A782" s="8"/>
      <c r="B782" s="68" t="s">
        <v>51</v>
      </c>
      <c r="C782" s="69">
        <f>C759-(C755+C756)</f>
        <v>-30552.83999999991</v>
      </c>
      <c r="D782" s="13"/>
    </row>
    <row r="783" spans="1:4" ht="15.75">
      <c r="A783" s="8"/>
      <c r="B783" s="68" t="s">
        <v>52</v>
      </c>
      <c r="C783" s="69">
        <v>-15077.84</v>
      </c>
      <c r="D783" s="5"/>
    </row>
    <row r="784" spans="1:4" ht="15.75">
      <c r="A784" s="8"/>
      <c r="B784" s="68" t="s">
        <v>107</v>
      </c>
      <c r="C784" s="69">
        <v>-15475</v>
      </c>
      <c r="D784" s="5"/>
    </row>
    <row r="785" spans="1:3" ht="15.75">
      <c r="A785" s="8"/>
      <c r="B785" s="87"/>
      <c r="C785" s="35"/>
    </row>
    <row r="787" ht="12.75">
      <c r="B787" t="s">
        <v>108</v>
      </c>
    </row>
    <row r="788" ht="12.75">
      <c r="B788" t="s">
        <v>171</v>
      </c>
    </row>
    <row r="789" spans="2:3" ht="12.75">
      <c r="B789" t="s">
        <v>261</v>
      </c>
      <c r="C789" s="97">
        <f>2075*58.87</f>
        <v>122155.25</v>
      </c>
    </row>
    <row r="790" spans="2:3" ht="12.75">
      <c r="B790" t="s">
        <v>262</v>
      </c>
      <c r="C790" s="97">
        <f>2227.14*58.87</f>
        <v>131111.73179999998</v>
      </c>
    </row>
    <row r="791" spans="2:3" ht="15">
      <c r="B791" s="98" t="s">
        <v>263</v>
      </c>
      <c r="C791" s="99">
        <f>C789-C790</f>
        <v>-8956.48179999998</v>
      </c>
    </row>
    <row r="792" ht="51.75" customHeight="1"/>
    <row r="793" spans="2:4" ht="15">
      <c r="B793" s="152" t="s">
        <v>0</v>
      </c>
      <c r="C793" s="152"/>
      <c r="D793" s="152"/>
    </row>
    <row r="794" spans="2:4" ht="15">
      <c r="B794" s="153" t="s">
        <v>91</v>
      </c>
      <c r="C794" s="153"/>
      <c r="D794" s="1"/>
    </row>
    <row r="795" spans="2:4" ht="18.75">
      <c r="B795" s="154" t="s">
        <v>264</v>
      </c>
      <c r="C795" s="154"/>
      <c r="D795" s="154"/>
    </row>
    <row r="796" spans="2:4" ht="15.75">
      <c r="B796" s="155" t="s">
        <v>3</v>
      </c>
      <c r="C796" s="155"/>
      <c r="D796" s="155"/>
    </row>
    <row r="797" spans="2:4" ht="14.25">
      <c r="B797" s="6"/>
      <c r="C797" s="132"/>
      <c r="D797" s="5"/>
    </row>
    <row r="798" spans="1:4" ht="15">
      <c r="A798" s="8"/>
      <c r="B798" s="46" t="s">
        <v>4</v>
      </c>
      <c r="C798" s="47">
        <v>1300.66</v>
      </c>
      <c r="D798" s="5"/>
    </row>
    <row r="799" spans="1:4" ht="12.75">
      <c r="A799" s="8"/>
      <c r="B799" s="48" t="s">
        <v>24</v>
      </c>
      <c r="C799" s="49">
        <v>5.33</v>
      </c>
      <c r="D799" s="13"/>
    </row>
    <row r="800" spans="1:4" ht="12.75">
      <c r="A800" s="8"/>
      <c r="B800" s="50" t="s">
        <v>6</v>
      </c>
      <c r="C800" s="49">
        <v>9.16</v>
      </c>
      <c r="D800" s="13"/>
    </row>
    <row r="801" spans="1:4" ht="18.75">
      <c r="A801" s="8"/>
      <c r="B801" s="16" t="s">
        <v>7</v>
      </c>
      <c r="C801" s="51">
        <f>6450.7+3021.83+5771.66+11079.76</f>
        <v>26323.949999999997</v>
      </c>
      <c r="D801" s="13"/>
    </row>
    <row r="802" spans="1:4" ht="18.75">
      <c r="A802" s="18">
        <v>1</v>
      </c>
      <c r="B802" s="19" t="s">
        <v>25</v>
      </c>
      <c r="C802" s="51">
        <f>C803+C804</f>
        <v>400484.56000000006</v>
      </c>
      <c r="D802" s="5"/>
    </row>
    <row r="803" spans="1:4" ht="15">
      <c r="A803" s="18" t="s">
        <v>93</v>
      </c>
      <c r="B803" s="23" t="s">
        <v>204</v>
      </c>
      <c r="C803" s="24">
        <f>83261.4+143090.14</f>
        <v>226351.54</v>
      </c>
      <c r="D803" s="5"/>
    </row>
    <row r="804" spans="1:4" ht="15">
      <c r="A804" s="18" t="s">
        <v>95</v>
      </c>
      <c r="B804" s="23" t="s">
        <v>96</v>
      </c>
      <c r="C804" s="24">
        <f>61522.05+112610.97</f>
        <v>174133.02000000002</v>
      </c>
      <c r="D804" s="5"/>
    </row>
    <row r="805" spans="1:4" ht="18">
      <c r="A805" s="18">
        <v>2</v>
      </c>
      <c r="B805" s="19" t="s">
        <v>28</v>
      </c>
      <c r="C805" s="20">
        <f>C806+C807</f>
        <v>391200.08999999997</v>
      </c>
      <c r="D805" s="13"/>
    </row>
    <row r="806" spans="1:4" ht="15.75">
      <c r="A806" s="18" t="s">
        <v>29</v>
      </c>
      <c r="B806" s="89" t="s">
        <v>206</v>
      </c>
      <c r="C806" s="35">
        <f>82654.03+142040.32</f>
        <v>224694.35</v>
      </c>
      <c r="D806" s="13"/>
    </row>
    <row r="807" spans="1:4" ht="15.75">
      <c r="A807" s="18" t="s">
        <v>31</v>
      </c>
      <c r="B807" s="89" t="s">
        <v>98</v>
      </c>
      <c r="C807" s="35">
        <f>58742.29+107763.45</f>
        <v>166505.74</v>
      </c>
      <c r="D807" s="5"/>
    </row>
    <row r="808" spans="1:4" ht="36">
      <c r="A808" s="18">
        <v>5</v>
      </c>
      <c r="B808" s="53" t="s">
        <v>12</v>
      </c>
      <c r="C808" s="56">
        <f>C809+C811</f>
        <v>300534.811</v>
      </c>
      <c r="D808" s="13"/>
    </row>
    <row r="809" spans="1:4" ht="18.75">
      <c r="A809" s="91" t="s">
        <v>33</v>
      </c>
      <c r="B809" s="92" t="s">
        <v>32</v>
      </c>
      <c r="C809" s="56">
        <f>C810</f>
        <v>135871.96</v>
      </c>
      <c r="D809" s="13"/>
    </row>
    <row r="810" spans="1:4" ht="15.75">
      <c r="A810" s="18"/>
      <c r="B810" s="92" t="s">
        <v>99</v>
      </c>
      <c r="C810" s="93">
        <f>2308*58.87</f>
        <v>135871.96</v>
      </c>
      <c r="D810" s="13"/>
    </row>
    <row r="811" spans="1:4" ht="18.75">
      <c r="A811" s="18" t="s">
        <v>35</v>
      </c>
      <c r="B811" s="92" t="s">
        <v>36</v>
      </c>
      <c r="C811" s="56">
        <f>C812+C813+C814+C815+C816+C817+C818+C819</f>
        <v>164662.851</v>
      </c>
      <c r="D811" s="13"/>
    </row>
    <row r="812" spans="1:4" ht="38.25">
      <c r="A812" s="31" t="s">
        <v>37</v>
      </c>
      <c r="B812" s="32" t="s">
        <v>14</v>
      </c>
      <c r="C812" s="59">
        <v>31212.65</v>
      </c>
      <c r="D812" s="5"/>
    </row>
    <row r="813" spans="1:4" ht="12.75">
      <c r="A813" s="18" t="s">
        <v>38</v>
      </c>
      <c r="B813" s="60" t="s">
        <v>265</v>
      </c>
      <c r="C813" s="61">
        <v>139.62</v>
      </c>
      <c r="D813" s="5"/>
    </row>
    <row r="814" spans="1:4" ht="12.75">
      <c r="A814" s="18" t="s">
        <v>100</v>
      </c>
      <c r="B814" s="62" t="s">
        <v>266</v>
      </c>
      <c r="C814" s="61">
        <v>51401.26</v>
      </c>
      <c r="D814" s="5"/>
    </row>
    <row r="815" spans="1:4" ht="12.75">
      <c r="A815" s="31" t="s">
        <v>42</v>
      </c>
      <c r="B815" s="60" t="s">
        <v>267</v>
      </c>
      <c r="C815" s="61">
        <f>5.9*230*12</f>
        <v>16284</v>
      </c>
      <c r="D815" s="5"/>
    </row>
    <row r="816" spans="1:4" ht="12.75">
      <c r="A816" s="127" t="s">
        <v>43</v>
      </c>
      <c r="B816" s="111" t="s">
        <v>268</v>
      </c>
      <c r="C816" s="61">
        <v>7622.28</v>
      </c>
      <c r="D816" s="5"/>
    </row>
    <row r="817" spans="1:4" ht="24">
      <c r="A817" s="127"/>
      <c r="B817" s="66" t="s">
        <v>269</v>
      </c>
      <c r="C817" s="61">
        <f>1300+1330</f>
        <v>2630</v>
      </c>
      <c r="D817" s="5"/>
    </row>
    <row r="818" spans="1:4" ht="12.75">
      <c r="A818" s="31" t="s">
        <v>103</v>
      </c>
      <c r="B818" s="60" t="s">
        <v>270</v>
      </c>
      <c r="C818" s="61">
        <f>C803*0.15</f>
        <v>33952.731</v>
      </c>
      <c r="D818" s="5"/>
    </row>
    <row r="819" spans="1:4" ht="12.75">
      <c r="A819" s="18" t="s">
        <v>104</v>
      </c>
      <c r="B819" s="60" t="s">
        <v>271</v>
      </c>
      <c r="C819" s="128">
        <v>21420.31</v>
      </c>
      <c r="D819" s="13"/>
    </row>
    <row r="820" spans="1:4" ht="12.75">
      <c r="A820" s="18"/>
      <c r="B820" s="63"/>
      <c r="C820" s="61"/>
      <c r="D820" s="13"/>
    </row>
    <row r="821" spans="1:4" ht="30">
      <c r="A821" s="8"/>
      <c r="B821" s="68" t="s">
        <v>242</v>
      </c>
      <c r="C821" s="69">
        <f>C805-C808</f>
        <v>90665.27899999998</v>
      </c>
      <c r="D821" s="5"/>
    </row>
    <row r="822" spans="1:4" ht="30">
      <c r="A822" s="8"/>
      <c r="B822" s="68" t="s">
        <v>243</v>
      </c>
      <c r="C822" s="69">
        <v>-2605.73</v>
      </c>
      <c r="D822" s="5"/>
    </row>
    <row r="823" spans="1:4" ht="15.75">
      <c r="A823" s="8"/>
      <c r="B823" s="68" t="s">
        <v>76</v>
      </c>
      <c r="C823" s="69">
        <f>C821+C822</f>
        <v>88059.54899999998</v>
      </c>
      <c r="D823" s="5"/>
    </row>
    <row r="824" spans="1:4" ht="15.75">
      <c r="A824" s="8"/>
      <c r="B824" s="68"/>
      <c r="C824" s="69"/>
      <c r="D824" s="5"/>
    </row>
    <row r="825" spans="1:4" ht="30">
      <c r="A825" s="8"/>
      <c r="B825" s="68" t="s">
        <v>51</v>
      </c>
      <c r="C825" s="137">
        <f>C805-(C801+C802)</f>
        <v>-35608.4200000001</v>
      </c>
      <c r="D825" s="13"/>
    </row>
    <row r="826" spans="1:4" ht="15.75">
      <c r="A826" s="8"/>
      <c r="B826" s="68" t="s">
        <v>52</v>
      </c>
      <c r="C826" s="137">
        <v>-19187.65</v>
      </c>
      <c r="D826" s="5"/>
    </row>
    <row r="827" spans="1:4" ht="15.75">
      <c r="A827" s="8"/>
      <c r="B827" s="68" t="s">
        <v>107</v>
      </c>
      <c r="C827" s="137">
        <v>-16420.77</v>
      </c>
      <c r="D827" s="5"/>
    </row>
    <row r="828" spans="1:3" ht="15.75">
      <c r="A828" s="8"/>
      <c r="B828" s="36"/>
      <c r="C828" s="35"/>
    </row>
    <row r="829" ht="51" customHeight="1"/>
    <row r="830" spans="2:4" ht="15">
      <c r="B830" s="152" t="s">
        <v>0</v>
      </c>
      <c r="C830" s="152"/>
      <c r="D830" s="152"/>
    </row>
    <row r="831" spans="2:4" ht="15">
      <c r="B831" s="153" t="s">
        <v>91</v>
      </c>
      <c r="C831" s="153"/>
      <c r="D831" s="1"/>
    </row>
    <row r="832" spans="2:4" ht="18.75">
      <c r="B832" s="154" t="s">
        <v>272</v>
      </c>
      <c r="C832" s="154"/>
      <c r="D832" s="154"/>
    </row>
    <row r="833" spans="2:4" ht="15.75">
      <c r="B833" s="155" t="s">
        <v>3</v>
      </c>
      <c r="C833" s="155"/>
      <c r="D833" s="155"/>
    </row>
    <row r="834" spans="2:4" ht="12.75">
      <c r="B834" s="3"/>
      <c r="C834" s="4"/>
      <c r="D834" s="5"/>
    </row>
    <row r="835" spans="2:4" ht="14.25">
      <c r="B835" s="6"/>
      <c r="C835" s="7"/>
      <c r="D835" s="5"/>
    </row>
    <row r="836" spans="1:4" ht="15">
      <c r="A836" s="8"/>
      <c r="B836" s="46" t="s">
        <v>4</v>
      </c>
      <c r="C836" s="47">
        <v>225.1</v>
      </c>
      <c r="D836" s="5"/>
    </row>
    <row r="837" spans="1:4" ht="12.75">
      <c r="A837" s="8"/>
      <c r="B837" s="48" t="s">
        <v>24</v>
      </c>
      <c r="C837" s="49">
        <v>3.2</v>
      </c>
      <c r="D837" s="13"/>
    </row>
    <row r="838" spans="1:4" ht="12.75">
      <c r="A838" s="8"/>
      <c r="B838" s="50" t="s">
        <v>6</v>
      </c>
      <c r="C838" s="49">
        <v>5.49</v>
      </c>
      <c r="D838" s="13"/>
    </row>
    <row r="839" spans="1:4" ht="18.75">
      <c r="A839" s="18"/>
      <c r="B839" s="16" t="s">
        <v>7</v>
      </c>
      <c r="C839" s="17">
        <f>394.72+676.44</f>
        <v>1071.16</v>
      </c>
      <c r="D839" s="5"/>
    </row>
    <row r="840" spans="1:4" ht="18">
      <c r="A840" s="18">
        <v>1</v>
      </c>
      <c r="B840" s="19" t="s">
        <v>8</v>
      </c>
      <c r="C840" s="20">
        <f>7915.08+13579.2</f>
        <v>21494.28</v>
      </c>
      <c r="D840" s="5"/>
    </row>
    <row r="841" spans="1:4" ht="18">
      <c r="A841" s="18" t="s">
        <v>205</v>
      </c>
      <c r="B841" s="21" t="s">
        <v>9</v>
      </c>
      <c r="C841" s="22">
        <f>(C839+C840)-C843</f>
        <v>21903.98</v>
      </c>
      <c r="D841" s="5"/>
    </row>
    <row r="842" spans="1:4" ht="18">
      <c r="A842" s="18" t="s">
        <v>273</v>
      </c>
      <c r="B842" s="23" t="s">
        <v>10</v>
      </c>
      <c r="C842" s="22"/>
      <c r="D842" s="5"/>
    </row>
    <row r="843" spans="1:4" ht="18">
      <c r="A843" s="18" t="s">
        <v>274</v>
      </c>
      <c r="B843" s="25" t="s">
        <v>11</v>
      </c>
      <c r="C843" s="22">
        <f>243.59+417.87</f>
        <v>661.46</v>
      </c>
      <c r="D843" s="5"/>
    </row>
    <row r="844" spans="1:4" ht="12.75">
      <c r="A844" s="18"/>
      <c r="D844" s="5"/>
    </row>
    <row r="845" spans="1:4" ht="31.5">
      <c r="A845" s="18">
        <v>5</v>
      </c>
      <c r="B845" s="138" t="s">
        <v>12</v>
      </c>
      <c r="C845" s="139">
        <f>C846+C847+C848+C849+C850</f>
        <v>26466.702</v>
      </c>
      <c r="D845" s="5"/>
    </row>
    <row r="846" spans="1:4" ht="38.25">
      <c r="A846" s="31" t="s">
        <v>37</v>
      </c>
      <c r="B846" s="32" t="s">
        <v>14</v>
      </c>
      <c r="C846" s="59">
        <v>378.12</v>
      </c>
      <c r="D846" s="5"/>
    </row>
    <row r="847" spans="1:4" ht="12.75">
      <c r="A847" s="18" t="s">
        <v>38</v>
      </c>
      <c r="B847" s="118" t="s">
        <v>275</v>
      </c>
      <c r="C847" s="61">
        <v>32</v>
      </c>
      <c r="D847" s="5"/>
    </row>
    <row r="848" spans="1:4" ht="12.75">
      <c r="A848" s="31" t="s">
        <v>42</v>
      </c>
      <c r="B848" s="118" t="s">
        <v>276</v>
      </c>
      <c r="C848" s="61">
        <f>1.4*230*12</f>
        <v>3864</v>
      </c>
      <c r="D848" s="5"/>
    </row>
    <row r="849" spans="1:4" ht="12.75">
      <c r="A849" s="8" t="s">
        <v>45</v>
      </c>
      <c r="B849" s="118" t="s">
        <v>216</v>
      </c>
      <c r="C849" s="84">
        <f>C840*0.15</f>
        <v>3224.142</v>
      </c>
      <c r="D849" s="5"/>
    </row>
    <row r="850" spans="1:4" ht="12.75">
      <c r="A850" t="s">
        <v>134</v>
      </c>
      <c r="B850" s="118" t="s">
        <v>277</v>
      </c>
      <c r="C850" s="61">
        <f>C852+C853+C854+C855</f>
        <v>18968.440000000002</v>
      </c>
      <c r="D850" s="5"/>
    </row>
    <row r="851" spans="2:4" ht="12.75">
      <c r="B851" s="118" t="s">
        <v>278</v>
      </c>
      <c r="C851" s="61"/>
      <c r="D851" s="5"/>
    </row>
    <row r="852" spans="1:4" ht="12.75">
      <c r="A852" s="8"/>
      <c r="B852" s="40" t="s">
        <v>48</v>
      </c>
      <c r="C852" s="71">
        <v>1025.62</v>
      </c>
      <c r="D852" s="5"/>
    </row>
    <row r="853" spans="1:4" ht="24">
      <c r="A853" s="8"/>
      <c r="B853" s="40" t="s">
        <v>279</v>
      </c>
      <c r="C853" s="71">
        <v>2672.99</v>
      </c>
      <c r="D853" s="5"/>
    </row>
    <row r="854" spans="1:4" ht="12.75">
      <c r="A854" s="8"/>
      <c r="B854" s="40" t="s">
        <v>280</v>
      </c>
      <c r="C854" s="71">
        <v>13722.04</v>
      </c>
      <c r="D854" s="5"/>
    </row>
    <row r="855" spans="1:4" ht="12.75">
      <c r="A855" s="8"/>
      <c r="B855" s="40" t="s">
        <v>281</v>
      </c>
      <c r="C855" s="71">
        <v>1547.79</v>
      </c>
      <c r="D855" s="5"/>
    </row>
    <row r="856" spans="1:4" ht="15.75">
      <c r="A856" s="8"/>
      <c r="B856" s="75"/>
      <c r="C856" s="69"/>
      <c r="D856" s="5"/>
    </row>
    <row r="857" spans="1:3" ht="15.75">
      <c r="A857" s="8"/>
      <c r="B857" s="140" t="s">
        <v>282</v>
      </c>
      <c r="C857" s="141">
        <v>37028.78</v>
      </c>
    </row>
    <row r="858" spans="1:3" ht="15.75">
      <c r="A858" s="8"/>
      <c r="B858" s="140" t="s">
        <v>283</v>
      </c>
      <c r="C858" s="103">
        <f>C841-C845</f>
        <v>-4562.722000000002</v>
      </c>
    </row>
    <row r="859" spans="1:3" ht="15.75">
      <c r="A859" s="8"/>
      <c r="B859" s="142" t="s">
        <v>284</v>
      </c>
      <c r="C859" s="103">
        <f>SUM(C857:C858)</f>
        <v>32466.057999999997</v>
      </c>
    </row>
    <row r="860" ht="51" customHeight="1"/>
    <row r="861" spans="2:4" ht="15">
      <c r="B861" s="152" t="s">
        <v>0</v>
      </c>
      <c r="C861" s="152"/>
      <c r="D861" s="152"/>
    </row>
    <row r="862" spans="2:4" ht="15">
      <c r="B862" s="153" t="s">
        <v>1</v>
      </c>
      <c r="C862" s="153"/>
      <c r="D862" s="1"/>
    </row>
    <row r="863" spans="2:4" ht="18.75">
      <c r="B863" s="154" t="s">
        <v>285</v>
      </c>
      <c r="C863" s="154"/>
      <c r="D863" s="154"/>
    </row>
    <row r="864" spans="2:4" ht="15.75">
      <c r="B864" s="155" t="s">
        <v>3</v>
      </c>
      <c r="C864" s="155"/>
      <c r="D864" s="155"/>
    </row>
    <row r="865" spans="2:4" ht="12.75">
      <c r="B865" s="3"/>
      <c r="C865" s="4"/>
      <c r="D865" s="5"/>
    </row>
    <row r="866" spans="2:4" ht="14.25">
      <c r="B866" s="6"/>
      <c r="C866" s="7"/>
      <c r="D866" s="5"/>
    </row>
    <row r="867" spans="1:4" ht="15.75">
      <c r="A867" s="8"/>
      <c r="B867" s="9" t="s">
        <v>4</v>
      </c>
      <c r="C867" s="10">
        <v>400.9</v>
      </c>
      <c r="D867" s="5"/>
    </row>
    <row r="868" spans="1:4" ht="15">
      <c r="A868" s="8"/>
      <c r="B868" s="11" t="s">
        <v>5</v>
      </c>
      <c r="C868" s="12">
        <v>3.2</v>
      </c>
      <c r="D868" s="13"/>
    </row>
    <row r="869" spans="1:4" ht="15">
      <c r="A869" s="8"/>
      <c r="B869" s="14" t="s">
        <v>6</v>
      </c>
      <c r="C869" s="15">
        <v>5.49</v>
      </c>
      <c r="D869" s="13"/>
    </row>
    <row r="870" spans="1:4" ht="18.75">
      <c r="A870" s="8"/>
      <c r="B870" s="16" t="s">
        <v>7</v>
      </c>
      <c r="C870" s="17">
        <v>1919.21</v>
      </c>
      <c r="D870" s="13"/>
    </row>
    <row r="871" spans="1:4" ht="18">
      <c r="A871" s="18">
        <v>1</v>
      </c>
      <c r="B871" s="19" t="s">
        <v>8</v>
      </c>
      <c r="C871" s="20">
        <f>14872.78+25515.98</f>
        <v>40388.76</v>
      </c>
      <c r="D871" s="5"/>
    </row>
    <row r="872" spans="1:4" ht="18">
      <c r="A872" s="18">
        <v>2</v>
      </c>
      <c r="B872" s="21" t="s">
        <v>9</v>
      </c>
      <c r="C872" s="22">
        <f>(C870+C871)-C874</f>
        <v>36190.33</v>
      </c>
      <c r="D872" s="5"/>
    </row>
    <row r="873" spans="1:4" ht="15">
      <c r="A873" s="18">
        <v>3</v>
      </c>
      <c r="B873" s="23" t="s">
        <v>10</v>
      </c>
      <c r="C873" s="24"/>
      <c r="D873" s="5"/>
    </row>
    <row r="874" spans="1:4" ht="18.75">
      <c r="A874" s="18"/>
      <c r="B874" s="25" t="s">
        <v>11</v>
      </c>
      <c r="C874" s="51">
        <f>2252.85+3864.79</f>
        <v>6117.639999999999</v>
      </c>
      <c r="D874" s="5"/>
    </row>
    <row r="875" spans="1:4" ht="15">
      <c r="A875" s="26"/>
      <c r="B875" s="27"/>
      <c r="C875" s="28"/>
      <c r="D875" s="5"/>
    </row>
    <row r="876" spans="1:4" ht="15">
      <c r="A876" s="26"/>
      <c r="B876" s="27"/>
      <c r="C876" s="28"/>
      <c r="D876" s="5"/>
    </row>
    <row r="877" spans="1:4" ht="31.5">
      <c r="A877" s="18">
        <v>4</v>
      </c>
      <c r="B877" s="29" t="s">
        <v>12</v>
      </c>
      <c r="C877" s="30">
        <f>C878+C879+C880+C881+C882+C883</f>
        <v>20212.334</v>
      </c>
      <c r="D877" s="5"/>
    </row>
    <row r="878" spans="1:4" ht="39">
      <c r="A878" s="31" t="s">
        <v>13</v>
      </c>
      <c r="B878" s="32" t="s">
        <v>14</v>
      </c>
      <c r="C878" s="33">
        <v>1226.52</v>
      </c>
      <c r="D878" s="5"/>
    </row>
    <row r="879" spans="1:4" ht="15.75">
      <c r="A879" s="18" t="s">
        <v>67</v>
      </c>
      <c r="B879" s="75" t="s">
        <v>286</v>
      </c>
      <c r="C879" s="35">
        <v>1894.41</v>
      </c>
      <c r="D879" s="5"/>
    </row>
    <row r="880" spans="1:4" ht="15.75">
      <c r="A880" s="18" t="s">
        <v>15</v>
      </c>
      <c r="B880" s="75" t="s">
        <v>69</v>
      </c>
      <c r="C880" s="35">
        <v>56.36</v>
      </c>
      <c r="D880" s="5"/>
    </row>
    <row r="881" spans="1:4" ht="15.75">
      <c r="A881" s="18" t="s">
        <v>18</v>
      </c>
      <c r="B881" s="76" t="s">
        <v>287</v>
      </c>
      <c r="C881" s="37">
        <f>2.6*230*12</f>
        <v>7176</v>
      </c>
      <c r="D881" s="5"/>
    </row>
    <row r="882" spans="1:4" ht="15.75">
      <c r="A882" s="18" t="s">
        <v>178</v>
      </c>
      <c r="B882" s="77" t="s">
        <v>71</v>
      </c>
      <c r="C882" s="39">
        <f>C871*0.15</f>
        <v>6058.314</v>
      </c>
      <c r="D882" s="5"/>
    </row>
    <row r="883" spans="1:4" ht="15.75">
      <c r="A883" s="8">
        <v>5</v>
      </c>
      <c r="B883" s="75" t="s">
        <v>72</v>
      </c>
      <c r="C883" s="35">
        <v>3800.73</v>
      </c>
      <c r="D883" s="5"/>
    </row>
    <row r="884" spans="1:4" ht="12.75">
      <c r="A884" s="8"/>
      <c r="B884" s="66"/>
      <c r="C884" s="71"/>
      <c r="D884" s="5"/>
    </row>
    <row r="885" spans="1:3" ht="18">
      <c r="A885" s="8"/>
      <c r="B885" s="44" t="s">
        <v>75</v>
      </c>
      <c r="C885" s="72">
        <v>-37405.19</v>
      </c>
    </row>
    <row r="886" spans="1:4" ht="18">
      <c r="A886" s="8"/>
      <c r="B886" s="44" t="s">
        <v>22</v>
      </c>
      <c r="C886" s="22">
        <f>C872-C877</f>
        <v>15977.996000000003</v>
      </c>
      <c r="D886" s="45"/>
    </row>
    <row r="887" spans="1:3" ht="18.75">
      <c r="A887" s="8"/>
      <c r="B887" s="73" t="s">
        <v>76</v>
      </c>
      <c r="C887" s="72">
        <f>SUM(C885:C886)</f>
        <v>-21427.194</v>
      </c>
    </row>
    <row r="888" ht="51" customHeight="1"/>
    <row r="889" spans="2:4" ht="15">
      <c r="B889" s="152" t="s">
        <v>0</v>
      </c>
      <c r="C889" s="152"/>
      <c r="D889" s="152"/>
    </row>
    <row r="890" spans="2:4" ht="15">
      <c r="B890" s="153" t="s">
        <v>1</v>
      </c>
      <c r="C890" s="153"/>
      <c r="D890" s="1"/>
    </row>
    <row r="891" spans="2:4" ht="18.75">
      <c r="B891" s="154" t="s">
        <v>288</v>
      </c>
      <c r="C891" s="154"/>
      <c r="D891" s="154"/>
    </row>
    <row r="892" spans="2:4" ht="15.75">
      <c r="B892" s="155" t="s">
        <v>3</v>
      </c>
      <c r="C892" s="155"/>
      <c r="D892" s="155"/>
    </row>
    <row r="893" spans="2:4" ht="12.75">
      <c r="B893" s="3"/>
      <c r="C893" s="4"/>
      <c r="D893" s="5"/>
    </row>
    <row r="894" spans="2:4" ht="14.25">
      <c r="B894" s="6"/>
      <c r="C894" s="7"/>
      <c r="D894" s="5"/>
    </row>
    <row r="895" spans="1:4" ht="15.75">
      <c r="A895" s="8"/>
      <c r="B895" s="9" t="s">
        <v>4</v>
      </c>
      <c r="C895" s="10">
        <v>340</v>
      </c>
      <c r="D895" s="5"/>
    </row>
    <row r="896" spans="1:4" ht="15">
      <c r="A896" s="8"/>
      <c r="B896" s="11" t="s">
        <v>5</v>
      </c>
      <c r="C896" s="12">
        <v>3.74</v>
      </c>
      <c r="D896" s="13"/>
    </row>
    <row r="897" spans="1:4" ht="15">
      <c r="A897" s="8"/>
      <c r="B897" s="14" t="s">
        <v>6</v>
      </c>
      <c r="C897" s="15">
        <v>6.42</v>
      </c>
      <c r="D897" s="13"/>
    </row>
    <row r="898" spans="1:4" ht="18.75">
      <c r="A898" s="8"/>
      <c r="B898" s="16" t="s">
        <v>7</v>
      </c>
      <c r="C898" s="17">
        <f>1310.82+2247.61</f>
        <v>3558.4300000000003</v>
      </c>
      <c r="D898" s="13"/>
    </row>
    <row r="899" spans="1:4" ht="18">
      <c r="A899" s="18">
        <v>1</v>
      </c>
      <c r="B899" s="19" t="s">
        <v>8</v>
      </c>
      <c r="C899" s="20">
        <f>15272.95+26217.4</f>
        <v>41490.350000000006</v>
      </c>
      <c r="D899" s="5"/>
    </row>
    <row r="900" spans="1:4" ht="18">
      <c r="A900" s="18">
        <v>2</v>
      </c>
      <c r="B900" s="21" t="s">
        <v>9</v>
      </c>
      <c r="C900" s="22">
        <f>(C898+C899)-C902</f>
        <v>37429.04000000001</v>
      </c>
      <c r="D900" s="5"/>
    </row>
    <row r="901" spans="1:4" ht="15">
      <c r="A901" s="18">
        <v>3</v>
      </c>
      <c r="B901" s="23" t="s">
        <v>10</v>
      </c>
      <c r="C901" s="24"/>
      <c r="D901" s="5"/>
    </row>
    <row r="902" spans="1:4" ht="18.75">
      <c r="A902" s="18"/>
      <c r="B902" s="25" t="s">
        <v>11</v>
      </c>
      <c r="C902" s="51">
        <f>2805.61+4814.13</f>
        <v>7619.74</v>
      </c>
      <c r="D902" s="5"/>
    </row>
    <row r="903" spans="1:4" ht="15">
      <c r="A903" s="26"/>
      <c r="B903" s="27"/>
      <c r="C903" s="28"/>
      <c r="D903" s="5"/>
    </row>
    <row r="904" spans="1:4" ht="15">
      <c r="A904" s="26"/>
      <c r="B904" s="27"/>
      <c r="C904" s="28"/>
      <c r="D904" s="5"/>
    </row>
    <row r="905" spans="1:4" ht="31.5">
      <c r="A905" s="18">
        <v>4</v>
      </c>
      <c r="B905" s="29" t="s">
        <v>12</v>
      </c>
      <c r="C905" s="56">
        <f>C906+C907+C908+C909+C910+C911+C912</f>
        <v>23126.9625</v>
      </c>
      <c r="D905" s="5"/>
    </row>
    <row r="906" spans="1:4" ht="39">
      <c r="A906" s="31" t="s">
        <v>13</v>
      </c>
      <c r="B906" s="32" t="s">
        <v>14</v>
      </c>
      <c r="C906" s="33">
        <v>9399.01</v>
      </c>
      <c r="D906" s="5"/>
    </row>
    <row r="907" spans="1:4" ht="15.75">
      <c r="A907" s="18" t="s">
        <v>67</v>
      </c>
      <c r="B907" s="75" t="s">
        <v>289</v>
      </c>
      <c r="C907" s="35">
        <v>912.33</v>
      </c>
      <c r="D907" s="5"/>
    </row>
    <row r="908" spans="1:4" ht="15.75">
      <c r="A908" s="18" t="s">
        <v>15</v>
      </c>
      <c r="B908" s="75" t="s">
        <v>69</v>
      </c>
      <c r="C908" s="35">
        <v>24.07</v>
      </c>
      <c r="D908" s="5"/>
    </row>
    <row r="909" spans="1:4" ht="15.75">
      <c r="A909" s="18" t="s">
        <v>18</v>
      </c>
      <c r="B909" s="76" t="s">
        <v>290</v>
      </c>
      <c r="C909" s="37">
        <f>1.8*230*12</f>
        <v>4968</v>
      </c>
      <c r="D909" s="5"/>
    </row>
    <row r="910" spans="1:4" ht="29.25">
      <c r="A910" s="18"/>
      <c r="B910" s="143" t="s">
        <v>291</v>
      </c>
      <c r="C910" s="35">
        <v>1600</v>
      </c>
      <c r="D910" s="5"/>
    </row>
    <row r="911" spans="1:4" ht="15.75">
      <c r="A911" s="18" t="s">
        <v>178</v>
      </c>
      <c r="B911" s="77" t="s">
        <v>71</v>
      </c>
      <c r="C911" s="39">
        <f>C899*0.15</f>
        <v>6223.552500000001</v>
      </c>
      <c r="D911" s="5"/>
    </row>
    <row r="912" spans="1:4" ht="15.75">
      <c r="A912" s="8">
        <v>5</v>
      </c>
      <c r="B912" s="75" t="s">
        <v>72</v>
      </c>
      <c r="C912" s="35">
        <v>0</v>
      </c>
      <c r="D912" s="5"/>
    </row>
    <row r="913" spans="1:4" ht="15.75">
      <c r="A913" s="8"/>
      <c r="B913" s="75"/>
      <c r="C913" s="35"/>
      <c r="D913" s="5"/>
    </row>
    <row r="914" spans="1:3" ht="18">
      <c r="A914" s="8"/>
      <c r="B914" s="44" t="s">
        <v>75</v>
      </c>
      <c r="C914" s="72">
        <v>-4123.78</v>
      </c>
    </row>
    <row r="915" spans="1:4" ht="18">
      <c r="A915" s="8"/>
      <c r="B915" s="44" t="s">
        <v>292</v>
      </c>
      <c r="C915" s="22">
        <f>C900-C905</f>
        <v>14302.077500000007</v>
      </c>
      <c r="D915" s="45"/>
    </row>
    <row r="916" spans="1:3" ht="18.75">
      <c r="A916" s="8"/>
      <c r="B916" s="73" t="s">
        <v>76</v>
      </c>
      <c r="C916" s="22">
        <f>SUM(C914:C915)</f>
        <v>10178.297500000008</v>
      </c>
    </row>
    <row r="917" ht="53.25" customHeight="1"/>
    <row r="918" spans="2:4" ht="15">
      <c r="B918" s="152" t="s">
        <v>0</v>
      </c>
      <c r="C918" s="152"/>
      <c r="D918" s="152"/>
    </row>
    <row r="919" spans="2:4" ht="15">
      <c r="B919" s="153" t="s">
        <v>91</v>
      </c>
      <c r="C919" s="153"/>
      <c r="D919" s="1"/>
    </row>
    <row r="920" spans="2:4" ht="18.75">
      <c r="B920" s="154" t="s">
        <v>293</v>
      </c>
      <c r="C920" s="154"/>
      <c r="D920" s="154"/>
    </row>
    <row r="921" spans="2:4" ht="15.75">
      <c r="B921" s="155" t="s">
        <v>3</v>
      </c>
      <c r="C921" s="155"/>
      <c r="D921" s="155"/>
    </row>
    <row r="922" spans="2:4" ht="14.25">
      <c r="B922" s="6"/>
      <c r="C922" s="132"/>
      <c r="D922" s="5"/>
    </row>
    <row r="923" spans="1:4" ht="15">
      <c r="A923" s="8"/>
      <c r="B923" s="46" t="s">
        <v>4</v>
      </c>
      <c r="C923" s="47">
        <v>683.5</v>
      </c>
      <c r="D923" s="5"/>
    </row>
    <row r="924" spans="1:4" ht="12.75">
      <c r="A924" s="8"/>
      <c r="B924" s="48" t="s">
        <v>24</v>
      </c>
      <c r="C924" s="49">
        <v>5.33</v>
      </c>
      <c r="D924" s="13"/>
    </row>
    <row r="925" spans="1:4" ht="12.75">
      <c r="A925" s="8"/>
      <c r="B925" s="50" t="s">
        <v>6</v>
      </c>
      <c r="C925" s="49">
        <v>9.16</v>
      </c>
      <c r="D925" s="13"/>
    </row>
    <row r="926" spans="1:4" ht="18.75">
      <c r="A926" s="8"/>
      <c r="B926" s="16" t="s">
        <v>7</v>
      </c>
      <c r="C926" s="51">
        <f>1935.68+2468.9+4608.63+3324.82</f>
        <v>12338.029999999999</v>
      </c>
      <c r="D926" s="13"/>
    </row>
    <row r="927" spans="1:4" ht="18.75">
      <c r="A927" s="18">
        <v>1</v>
      </c>
      <c r="B927" s="19" t="s">
        <v>25</v>
      </c>
      <c r="C927" s="51">
        <f>C928+C929</f>
        <v>206937</v>
      </c>
      <c r="D927" s="5"/>
    </row>
    <row r="928" spans="1:4" ht="15">
      <c r="A928" s="18" t="s">
        <v>93</v>
      </c>
      <c r="B928" s="23" t="s">
        <v>204</v>
      </c>
      <c r="C928" s="24">
        <f>43716.59+75130.2</f>
        <v>118846.79</v>
      </c>
      <c r="D928" s="5"/>
    </row>
    <row r="929" spans="1:4" ht="15">
      <c r="A929" s="18" t="s">
        <v>95</v>
      </c>
      <c r="B929" s="23" t="s">
        <v>96</v>
      </c>
      <c r="C929" s="24">
        <f>31805.73+56284.48</f>
        <v>88090.21</v>
      </c>
      <c r="D929" s="5"/>
    </row>
    <row r="930" spans="1:4" ht="18">
      <c r="A930" s="18">
        <v>2</v>
      </c>
      <c r="B930" s="19" t="s">
        <v>28</v>
      </c>
      <c r="C930" s="20">
        <f>C931+C932</f>
        <v>229833.45</v>
      </c>
      <c r="D930" s="13"/>
    </row>
    <row r="931" spans="1:4" ht="15.75">
      <c r="A931" s="18" t="s">
        <v>29</v>
      </c>
      <c r="B931" s="89" t="s">
        <v>206</v>
      </c>
      <c r="C931" s="35">
        <f>47300.9+81288.74</f>
        <v>128589.64000000001</v>
      </c>
      <c r="D931" s="13"/>
    </row>
    <row r="932" spans="1:4" ht="15.75">
      <c r="A932" s="18" t="s">
        <v>31</v>
      </c>
      <c r="B932" s="89" t="s">
        <v>98</v>
      </c>
      <c r="C932" s="35">
        <f>37872.04+63371.77</f>
        <v>101243.81</v>
      </c>
      <c r="D932" s="5"/>
    </row>
    <row r="933" spans="1:4" ht="36">
      <c r="A933" s="18">
        <v>5</v>
      </c>
      <c r="B933" s="53" t="s">
        <v>12</v>
      </c>
      <c r="C933" s="56">
        <f>C934+C936</f>
        <v>234398.6985</v>
      </c>
      <c r="D933" s="13"/>
    </row>
    <row r="934" spans="1:4" ht="18.75">
      <c r="A934" s="91" t="s">
        <v>33</v>
      </c>
      <c r="B934" s="92" t="s">
        <v>32</v>
      </c>
      <c r="C934" s="56">
        <f>C935</f>
        <v>95016.18</v>
      </c>
      <c r="D934" s="13"/>
    </row>
    <row r="935" spans="1:4" ht="15.75">
      <c r="A935" s="18"/>
      <c r="B935" s="92" t="s">
        <v>99</v>
      </c>
      <c r="C935" s="93">
        <f>1614*58.87</f>
        <v>95016.18</v>
      </c>
      <c r="D935" s="13"/>
    </row>
    <row r="936" spans="1:4" ht="18.75">
      <c r="A936" s="18" t="s">
        <v>35</v>
      </c>
      <c r="B936" s="92" t="s">
        <v>36</v>
      </c>
      <c r="C936" s="56">
        <f>C937+C938+C939+C940+C941+C942+C943</f>
        <v>139382.5185</v>
      </c>
      <c r="D936" s="13"/>
    </row>
    <row r="937" spans="1:4" ht="38.25">
      <c r="A937" s="31" t="s">
        <v>37</v>
      </c>
      <c r="B937" s="32" t="s">
        <v>14</v>
      </c>
      <c r="C937" s="59">
        <v>25209.6</v>
      </c>
      <c r="D937" s="5"/>
    </row>
    <row r="938" spans="1:4" ht="12.75">
      <c r="A938" s="18" t="s">
        <v>38</v>
      </c>
      <c r="B938" s="60" t="s">
        <v>39</v>
      </c>
      <c r="C938" s="61">
        <v>64.57</v>
      </c>
      <c r="D938" s="5"/>
    </row>
    <row r="939" spans="1:4" ht="12.75">
      <c r="A939" s="31" t="s">
        <v>42</v>
      </c>
      <c r="B939" s="60" t="s">
        <v>294</v>
      </c>
      <c r="C939" s="61">
        <f>2.2*230*12</f>
        <v>6072.000000000001</v>
      </c>
      <c r="D939" s="5"/>
    </row>
    <row r="940" spans="1:4" ht="12.75">
      <c r="A940" s="127" t="s">
        <v>43</v>
      </c>
      <c r="B940" s="111" t="s">
        <v>41</v>
      </c>
      <c r="C940" s="61">
        <v>5102.91</v>
      </c>
      <c r="D940" s="5"/>
    </row>
    <row r="941" spans="1:4" ht="12.75">
      <c r="A941" s="127"/>
      <c r="B941" s="87" t="s">
        <v>295</v>
      </c>
      <c r="C941" s="61">
        <v>3840</v>
      </c>
      <c r="D941" s="5"/>
    </row>
    <row r="942" spans="1:4" ht="12.75">
      <c r="A942" s="31" t="s">
        <v>103</v>
      </c>
      <c r="B942" s="60" t="s">
        <v>44</v>
      </c>
      <c r="C942" s="61">
        <f>C928*0.15</f>
        <v>17827.0185</v>
      </c>
      <c r="D942" s="5"/>
    </row>
    <row r="943" spans="1:4" ht="12.75">
      <c r="A943" s="18" t="s">
        <v>104</v>
      </c>
      <c r="B943" s="60" t="s">
        <v>46</v>
      </c>
      <c r="C943" s="128">
        <f>C945+C946+C947</f>
        <v>81266.42</v>
      </c>
      <c r="D943" s="13"/>
    </row>
    <row r="944" spans="1:4" ht="12.75">
      <c r="A944" s="18"/>
      <c r="B944" s="59" t="s">
        <v>47</v>
      </c>
      <c r="C944" s="61"/>
      <c r="D944" s="13"/>
    </row>
    <row r="945" spans="1:4" ht="12.75">
      <c r="A945" s="8"/>
      <c r="B945" s="144" t="s">
        <v>296</v>
      </c>
      <c r="C945" s="145">
        <v>35766.42</v>
      </c>
      <c r="D945" s="5"/>
    </row>
    <row r="946" spans="1:4" ht="12.75">
      <c r="A946" s="8"/>
      <c r="B946" s="66" t="s">
        <v>297</v>
      </c>
      <c r="C946" s="71">
        <v>25990</v>
      </c>
      <c r="D946" s="5"/>
    </row>
    <row r="947" spans="1:4" ht="24">
      <c r="A947" s="8"/>
      <c r="B947" s="146" t="s">
        <v>298</v>
      </c>
      <c r="C947" s="71">
        <v>19510</v>
      </c>
      <c r="D947" s="5"/>
    </row>
    <row r="948" spans="1:4" ht="12.75">
      <c r="A948" s="8"/>
      <c r="B948" s="146"/>
      <c r="C948" s="71"/>
      <c r="D948" s="5"/>
    </row>
    <row r="949" spans="1:4" ht="30">
      <c r="A949" s="8"/>
      <c r="B949" s="68" t="s">
        <v>242</v>
      </c>
      <c r="C949" s="69">
        <f>C930-C933</f>
        <v>-4565.248499999987</v>
      </c>
      <c r="D949" s="5"/>
    </row>
    <row r="950" spans="1:4" ht="30">
      <c r="A950" s="8"/>
      <c r="B950" s="68" t="s">
        <v>243</v>
      </c>
      <c r="C950" s="69">
        <v>18442.21</v>
      </c>
      <c r="D950" s="5"/>
    </row>
    <row r="951" spans="1:4" ht="15.75">
      <c r="A951" s="8"/>
      <c r="B951" s="68" t="s">
        <v>76</v>
      </c>
      <c r="C951" s="69">
        <f>C949+C950</f>
        <v>13876.961500000012</v>
      </c>
      <c r="D951" s="5"/>
    </row>
    <row r="952" spans="1:4" ht="15.75">
      <c r="A952" s="8"/>
      <c r="B952" s="68"/>
      <c r="C952" s="69"/>
      <c r="D952" s="5"/>
    </row>
    <row r="953" spans="1:4" ht="30">
      <c r="A953" s="8"/>
      <c r="B953" s="68" t="s">
        <v>51</v>
      </c>
      <c r="C953" s="69">
        <f>C930-(C926+C927)</f>
        <v>10558.420000000013</v>
      </c>
      <c r="D953" s="13"/>
    </row>
    <row r="954" spans="1:4" ht="15.75">
      <c r="A954" s="8"/>
      <c r="B954" s="68" t="s">
        <v>52</v>
      </c>
      <c r="C954" s="69">
        <v>4482.35</v>
      </c>
      <c r="D954" s="5"/>
    </row>
    <row r="955" spans="1:4" ht="15.75">
      <c r="A955" s="8"/>
      <c r="B955" s="68" t="s">
        <v>107</v>
      </c>
      <c r="C955" s="69">
        <v>6076.07</v>
      </c>
      <c r="D955" s="5"/>
    </row>
    <row r="956" spans="2:3" ht="15.75">
      <c r="B956" s="36"/>
      <c r="C956" s="35"/>
    </row>
    <row r="958" ht="12.75">
      <c r="B958" t="s">
        <v>108</v>
      </c>
    </row>
    <row r="959" ht="12.75">
      <c r="B959" t="s">
        <v>171</v>
      </c>
    </row>
    <row r="960" spans="2:3" ht="12.75">
      <c r="B960" t="s">
        <v>299</v>
      </c>
      <c r="C960" s="97">
        <f>1614*58.87</f>
        <v>95016.18</v>
      </c>
    </row>
    <row r="961" spans="2:3" ht="12.75">
      <c r="B961" t="s">
        <v>300</v>
      </c>
      <c r="C961" s="97">
        <v>88090.21</v>
      </c>
    </row>
    <row r="962" spans="2:3" ht="15">
      <c r="B962" s="98" t="s">
        <v>301</v>
      </c>
      <c r="C962" s="99">
        <f>C960-C961</f>
        <v>6925.969999999987</v>
      </c>
    </row>
    <row r="963" ht="53.25" customHeight="1"/>
    <row r="964" spans="2:4" ht="15" customHeight="1">
      <c r="B964" s="152" t="s">
        <v>0</v>
      </c>
      <c r="C964" s="152"/>
      <c r="D964" s="152"/>
    </row>
    <row r="965" spans="2:4" ht="15">
      <c r="B965" s="153" t="s">
        <v>1</v>
      </c>
      <c r="C965" s="153"/>
      <c r="D965" s="1"/>
    </row>
    <row r="966" spans="2:4" ht="18.75">
      <c r="B966" s="154" t="s">
        <v>353</v>
      </c>
      <c r="C966" s="154"/>
      <c r="D966" s="154"/>
    </row>
    <row r="967" spans="2:4" ht="15.75">
      <c r="B967" s="155" t="s">
        <v>3</v>
      </c>
      <c r="C967" s="155"/>
      <c r="D967" s="155"/>
    </row>
    <row r="968" spans="2:4" ht="14.25">
      <c r="B968" s="6"/>
      <c r="C968" s="7"/>
      <c r="D968" s="5"/>
    </row>
    <row r="969" spans="1:4" ht="15">
      <c r="A969" s="8"/>
      <c r="B969" s="46" t="s">
        <v>4</v>
      </c>
      <c r="C969" s="47">
        <v>527.55</v>
      </c>
      <c r="D969" s="5"/>
    </row>
    <row r="970" spans="1:4" ht="12.75">
      <c r="A970" s="8"/>
      <c r="B970" s="48" t="s">
        <v>24</v>
      </c>
      <c r="C970" s="49">
        <v>3.2</v>
      </c>
      <c r="D970" s="13"/>
    </row>
    <row r="971" spans="1:4" ht="12.75">
      <c r="A971" s="8"/>
      <c r="B971" s="50" t="s">
        <v>6</v>
      </c>
      <c r="C971" s="49">
        <v>5.49</v>
      </c>
      <c r="D971" s="13"/>
    </row>
    <row r="972" spans="1:4" ht="18.75">
      <c r="A972" s="8"/>
      <c r="B972" s="16" t="s">
        <v>7</v>
      </c>
      <c r="C972" s="51">
        <v>3568.39</v>
      </c>
      <c r="D972" s="13"/>
    </row>
    <row r="973" spans="1:4" ht="18.75">
      <c r="A973" s="18">
        <v>1</v>
      </c>
      <c r="B973" s="19" t="s">
        <v>25</v>
      </c>
      <c r="C973" s="51">
        <f>C974+C975</f>
        <v>61325.840000000004</v>
      </c>
      <c r="D973" s="5"/>
    </row>
    <row r="974" spans="1:4" ht="15">
      <c r="A974" s="18"/>
      <c r="B974" s="23" t="s">
        <v>26</v>
      </c>
      <c r="C974" s="24">
        <f>20246.4+34735.44</f>
        <v>54981.840000000004</v>
      </c>
      <c r="D974" s="5"/>
    </row>
    <row r="975" spans="1:4" ht="15">
      <c r="A975" s="18"/>
      <c r="B975" s="23" t="s">
        <v>303</v>
      </c>
      <c r="C975" s="24">
        <v>6344</v>
      </c>
      <c r="D975" s="5"/>
    </row>
    <row r="976" spans="1:4" ht="18">
      <c r="A976" s="18">
        <v>2</v>
      </c>
      <c r="B976" s="19" t="s">
        <v>28</v>
      </c>
      <c r="C976" s="20">
        <f>C977+C978</f>
        <v>57219.59</v>
      </c>
      <c r="D976" s="5"/>
    </row>
    <row r="977" spans="1:4" ht="15.75">
      <c r="A977" s="18" t="s">
        <v>29</v>
      </c>
      <c r="B977" s="52" t="s">
        <v>30</v>
      </c>
      <c r="C977" s="35">
        <f>18794.39+32241.34</f>
        <v>51035.729999999996</v>
      </c>
      <c r="D977" s="5"/>
    </row>
    <row r="978" spans="1:4" ht="15.75">
      <c r="A978" s="18" t="s">
        <v>31</v>
      </c>
      <c r="B978" s="52" t="s">
        <v>60</v>
      </c>
      <c r="C978" s="35">
        <v>6183.86</v>
      </c>
      <c r="D978" s="5"/>
    </row>
    <row r="979" spans="1:4" ht="36">
      <c r="A979" s="18">
        <v>5</v>
      </c>
      <c r="B979" s="53" t="s">
        <v>12</v>
      </c>
      <c r="C979" s="54">
        <f>C980+C982</f>
        <v>39388.346</v>
      </c>
      <c r="D979" s="5"/>
    </row>
    <row r="980" spans="1:4" ht="18.75">
      <c r="A980" s="18"/>
      <c r="B980" s="55" t="s">
        <v>32</v>
      </c>
      <c r="C980" s="56">
        <f>C981</f>
        <v>8548.800000000001</v>
      </c>
      <c r="D980" s="5"/>
    </row>
    <row r="981" spans="1:4" ht="15">
      <c r="A981" s="18" t="s">
        <v>33</v>
      </c>
      <c r="B981" s="57" t="s">
        <v>354</v>
      </c>
      <c r="C981" s="58">
        <f>411*20.8</f>
        <v>8548.800000000001</v>
      </c>
      <c r="D981" s="5"/>
    </row>
    <row r="982" spans="1:4" ht="18.75">
      <c r="A982" s="18" t="s">
        <v>35</v>
      </c>
      <c r="B982" s="55" t="s">
        <v>36</v>
      </c>
      <c r="C982" s="56">
        <f>C983+C984+C985+C986+C987+C988+C989</f>
        <v>30839.546</v>
      </c>
      <c r="D982" s="5"/>
    </row>
    <row r="983" spans="1:4" ht="38.25">
      <c r="A983" s="31" t="s">
        <v>37</v>
      </c>
      <c r="B983" s="32" t="s">
        <v>355</v>
      </c>
      <c r="C983" s="59">
        <v>2784.06</v>
      </c>
      <c r="D983" s="5"/>
    </row>
    <row r="984" spans="1:4" ht="12.75">
      <c r="A984" s="18" t="s">
        <v>38</v>
      </c>
      <c r="B984" s="60" t="s">
        <v>39</v>
      </c>
      <c r="C984" s="61">
        <v>75.05</v>
      </c>
      <c r="D984" s="5"/>
    </row>
    <row r="985" spans="1:4" ht="12.75">
      <c r="A985" s="18" t="s">
        <v>40</v>
      </c>
      <c r="B985" s="62" t="s">
        <v>41</v>
      </c>
      <c r="C985" s="61">
        <v>6347.25</v>
      </c>
      <c r="D985" s="5"/>
    </row>
    <row r="986" spans="1:4" ht="12.75">
      <c r="A986" s="31" t="s">
        <v>42</v>
      </c>
      <c r="B986" s="60" t="s">
        <v>356</v>
      </c>
      <c r="C986" s="61">
        <f>3.1*230*12</f>
        <v>8556</v>
      </c>
      <c r="D986" s="5"/>
    </row>
    <row r="987" spans="1:4" ht="25.5">
      <c r="A987" s="31"/>
      <c r="B987" s="88" t="s">
        <v>357</v>
      </c>
      <c r="C987" s="61">
        <v>2400</v>
      </c>
      <c r="D987" s="5"/>
    </row>
    <row r="988" spans="1:3" ht="12.75">
      <c r="A988" s="31" t="s">
        <v>43</v>
      </c>
      <c r="B988" s="60" t="s">
        <v>44</v>
      </c>
      <c r="C988" s="61">
        <f>C974*0.15</f>
        <v>8247.276</v>
      </c>
    </row>
    <row r="989" spans="1:3" ht="12.75">
      <c r="A989" s="18" t="s">
        <v>45</v>
      </c>
      <c r="B989" s="60" t="s">
        <v>46</v>
      </c>
      <c r="C989" s="61">
        <f>C991</f>
        <v>2429.91</v>
      </c>
    </row>
    <row r="990" spans="1:3" ht="12.75">
      <c r="A990" s="18"/>
      <c r="B990" s="63" t="s">
        <v>47</v>
      </c>
      <c r="C990" s="61"/>
    </row>
    <row r="991" spans="1:3" ht="24">
      <c r="A991" s="18"/>
      <c r="B991" s="66" t="s">
        <v>358</v>
      </c>
      <c r="C991" s="67">
        <v>2429.91</v>
      </c>
    </row>
    <row r="992" spans="1:4" ht="30">
      <c r="A992" s="8"/>
      <c r="B992" s="68" t="s">
        <v>50</v>
      </c>
      <c r="C992" s="69">
        <f>C976-C979</f>
        <v>17831.244</v>
      </c>
      <c r="D992" s="65"/>
    </row>
    <row r="993" spans="1:4" ht="12.75">
      <c r="A993" s="8"/>
      <c r="B993" s="70"/>
      <c r="C993" s="67"/>
      <c r="D993" s="65"/>
    </row>
    <row r="994" spans="1:4" ht="30">
      <c r="A994" s="8"/>
      <c r="B994" s="68" t="s">
        <v>359</v>
      </c>
      <c r="C994" s="69">
        <f>C977-C982</f>
        <v>20196.183999999997</v>
      </c>
      <c r="D994" s="65"/>
    </row>
    <row r="995" spans="1:4" ht="15.75">
      <c r="A995" s="8"/>
      <c r="B995" s="68" t="s">
        <v>136</v>
      </c>
      <c r="C995" s="69">
        <v>35100.92</v>
      </c>
      <c r="D995" s="65"/>
    </row>
    <row r="996" spans="1:4" ht="15.75">
      <c r="A996" s="8"/>
      <c r="B996" s="102" t="s">
        <v>360</v>
      </c>
      <c r="C996" s="69">
        <v>15000</v>
      </c>
      <c r="D996" s="65"/>
    </row>
    <row r="997" spans="1:4" ht="15.75">
      <c r="A997" s="8"/>
      <c r="B997" s="102" t="s">
        <v>361</v>
      </c>
      <c r="C997" s="69">
        <v>5650</v>
      </c>
      <c r="D997" s="65"/>
    </row>
    <row r="998" spans="1:4" ht="15.75">
      <c r="A998" s="8"/>
      <c r="B998" s="68" t="s">
        <v>76</v>
      </c>
      <c r="C998" s="69">
        <f>SUM(C994:C997)</f>
        <v>75947.10399999999</v>
      </c>
      <c r="D998" s="65"/>
    </row>
    <row r="999" spans="1:4" ht="15.75">
      <c r="A999" s="8"/>
      <c r="B999" s="68"/>
      <c r="C999" s="69"/>
      <c r="D999" s="65"/>
    </row>
    <row r="1000" spans="1:3" ht="30">
      <c r="A1000" s="8"/>
      <c r="B1000" s="68" t="s">
        <v>51</v>
      </c>
      <c r="C1000" s="69">
        <f>C976-(C972+C973)-8450</f>
        <v>-16124.640000000007</v>
      </c>
    </row>
    <row r="1001" spans="1:3" ht="51.75" customHeight="1">
      <c r="A1001" s="8"/>
      <c r="B1001" s="68" t="s">
        <v>52</v>
      </c>
      <c r="C1001" s="24">
        <v>-7327.73</v>
      </c>
    </row>
    <row r="1002" spans="1:3" ht="15.75">
      <c r="A1002" s="8"/>
      <c r="B1002" s="68" t="s">
        <v>362</v>
      </c>
      <c r="C1002" s="69">
        <v>-346.91</v>
      </c>
    </row>
    <row r="1003" spans="1:3" ht="15.75">
      <c r="A1003" s="8"/>
      <c r="B1003" s="68" t="s">
        <v>363</v>
      </c>
      <c r="C1003" s="69">
        <v>-8450</v>
      </c>
    </row>
    <row r="1004" spans="1:2" ht="12.75">
      <c r="A1004" s="65"/>
      <c r="B1004" t="s">
        <v>108</v>
      </c>
    </row>
    <row r="1005" ht="12.75">
      <c r="B1005" t="s">
        <v>171</v>
      </c>
    </row>
    <row r="1006" spans="2:3" ht="12.75">
      <c r="B1006" t="s">
        <v>364</v>
      </c>
      <c r="C1006" s="96">
        <f>411*20.8</f>
        <v>8548.800000000001</v>
      </c>
    </row>
    <row r="1007" spans="2:3" ht="12.75">
      <c r="B1007" t="s">
        <v>365</v>
      </c>
      <c r="C1007" s="97">
        <f>305*20.8</f>
        <v>6344</v>
      </c>
    </row>
    <row r="1008" spans="2:3" ht="15">
      <c r="B1008" s="98" t="s">
        <v>366</v>
      </c>
      <c r="C1008" s="99">
        <f>C1006-C1007</f>
        <v>2204.800000000001</v>
      </c>
    </row>
    <row r="1009" spans="2:3" ht="60" customHeight="1">
      <c r="B1009" s="98"/>
      <c r="C1009" s="99"/>
    </row>
    <row r="1010" spans="2:4" ht="14.25" customHeight="1">
      <c r="B1010" s="152" t="s">
        <v>0</v>
      </c>
      <c r="C1010" s="152"/>
      <c r="D1010" s="152"/>
    </row>
    <row r="1011" spans="2:4" ht="14.25" customHeight="1">
      <c r="B1011" s="153" t="s">
        <v>1</v>
      </c>
      <c r="C1011" s="153"/>
      <c r="D1011" s="1"/>
    </row>
    <row r="1012" spans="2:4" ht="18.75">
      <c r="B1012" s="154" t="s">
        <v>302</v>
      </c>
      <c r="C1012" s="154"/>
      <c r="D1012" s="154"/>
    </row>
    <row r="1013" spans="2:4" ht="15.75">
      <c r="B1013" s="155" t="s">
        <v>3</v>
      </c>
      <c r="C1013" s="155"/>
      <c r="D1013" s="155"/>
    </row>
    <row r="1014" spans="2:4" ht="12.75">
      <c r="B1014" s="3"/>
      <c r="C1014" s="4"/>
      <c r="D1014" s="5"/>
    </row>
    <row r="1015" spans="2:4" ht="14.25">
      <c r="B1015" s="6"/>
      <c r="C1015" s="7"/>
      <c r="D1015" s="5"/>
    </row>
    <row r="1016" spans="1:4" ht="15">
      <c r="A1016" s="8"/>
      <c r="B1016" s="46" t="s">
        <v>4</v>
      </c>
      <c r="C1016" s="47">
        <v>512.9</v>
      </c>
      <c r="D1016" s="5"/>
    </row>
    <row r="1017" spans="1:4" ht="12.75">
      <c r="A1017" s="8"/>
      <c r="B1017" s="48" t="s">
        <v>24</v>
      </c>
      <c r="C1017" s="49">
        <v>3.2</v>
      </c>
      <c r="D1017" s="13"/>
    </row>
    <row r="1018" spans="1:4" ht="12.75">
      <c r="A1018" s="8"/>
      <c r="B1018" s="50" t="s">
        <v>6</v>
      </c>
      <c r="C1018" s="49">
        <v>5.49</v>
      </c>
      <c r="D1018" s="13"/>
    </row>
    <row r="1019" spans="1:4" ht="18.75">
      <c r="A1019" s="8"/>
      <c r="B1019" s="16" t="s">
        <v>7</v>
      </c>
      <c r="C1019" s="51">
        <f>2649.62+4539.41+758.17</f>
        <v>7947.2</v>
      </c>
      <c r="D1019" s="147"/>
    </row>
    <row r="1020" spans="1:4" ht="18.75">
      <c r="A1020" s="18" t="s">
        <v>203</v>
      </c>
      <c r="B1020" s="19" t="s">
        <v>25</v>
      </c>
      <c r="C1020" s="51">
        <f>C1021+C1022</f>
        <v>323512.38</v>
      </c>
      <c r="D1020" s="5"/>
    </row>
    <row r="1021" spans="1:4" ht="15">
      <c r="A1021" s="18" t="s">
        <v>93</v>
      </c>
      <c r="B1021" s="23" t="s">
        <v>204</v>
      </c>
      <c r="C1021" s="24">
        <f>76701.23+131815.92</f>
        <v>208517.15000000002</v>
      </c>
      <c r="D1021" s="5"/>
    </row>
    <row r="1022" spans="1:4" ht="15">
      <c r="A1022" s="18" t="s">
        <v>95</v>
      </c>
      <c r="B1022" s="23" t="s">
        <v>96</v>
      </c>
      <c r="C1022" s="24">
        <f>40630.2+74365.03</f>
        <v>114995.23</v>
      </c>
      <c r="D1022" s="5"/>
    </row>
    <row r="1023" spans="1:4" ht="18">
      <c r="A1023" s="18" t="s">
        <v>205</v>
      </c>
      <c r="B1023" s="19" t="s">
        <v>28</v>
      </c>
      <c r="C1023" s="20">
        <f>C1024+C1025</f>
        <v>344037.33</v>
      </c>
      <c r="D1023" s="5"/>
    </row>
    <row r="1024" spans="1:4" ht="15.75">
      <c r="A1024" s="18" t="s">
        <v>29</v>
      </c>
      <c r="B1024" s="89" t="s">
        <v>231</v>
      </c>
      <c r="C1024" s="35">
        <f>81112.96+139387.5</f>
        <v>220500.46000000002</v>
      </c>
      <c r="D1024" s="5"/>
    </row>
    <row r="1025" spans="1:4" ht="15.75">
      <c r="A1025" s="18" t="s">
        <v>31</v>
      </c>
      <c r="B1025" s="89" t="s">
        <v>98</v>
      </c>
      <c r="C1025" s="35">
        <f>43522.99+80013.88</f>
        <v>123536.87</v>
      </c>
      <c r="D1025" s="5"/>
    </row>
    <row r="1026" spans="1:4" ht="36">
      <c r="A1026" s="18">
        <v>3</v>
      </c>
      <c r="B1026" s="53" t="s">
        <v>12</v>
      </c>
      <c r="C1026" s="54">
        <f>C1027+C1029</f>
        <v>221641.5625</v>
      </c>
      <c r="D1026" s="5"/>
    </row>
    <row r="1027" spans="1:4" ht="18.75">
      <c r="A1027" s="18" t="s">
        <v>207</v>
      </c>
      <c r="B1027" s="92" t="s">
        <v>32</v>
      </c>
      <c r="C1027" s="56">
        <f>C1028</f>
        <v>106083.73999999999</v>
      </c>
      <c r="D1027" s="5"/>
    </row>
    <row r="1028" spans="1:4" ht="15.75">
      <c r="A1028" s="18" t="s">
        <v>208</v>
      </c>
      <c r="B1028" s="92" t="s">
        <v>99</v>
      </c>
      <c r="C1028" s="93">
        <f>1802*58.87</f>
        <v>106083.73999999999</v>
      </c>
      <c r="D1028" s="5"/>
    </row>
    <row r="1029" spans="1:4" ht="18.75">
      <c r="A1029" s="18" t="s">
        <v>209</v>
      </c>
      <c r="B1029" s="92" t="s">
        <v>36</v>
      </c>
      <c r="C1029" s="56">
        <f>C1030+C1031+C1032+C1033+C1034+C1035+C1036</f>
        <v>115557.8225</v>
      </c>
      <c r="D1029" s="5"/>
    </row>
    <row r="1030" spans="1:4" ht="38.25">
      <c r="A1030" s="31" t="s">
        <v>210</v>
      </c>
      <c r="B1030" s="32" t="s">
        <v>14</v>
      </c>
      <c r="C1030" s="59">
        <v>24674.25</v>
      </c>
      <c r="D1030" s="5"/>
    </row>
    <row r="1031" spans="1:4" ht="12.75">
      <c r="A1031" s="31"/>
      <c r="B1031" s="111" t="s">
        <v>214</v>
      </c>
      <c r="C1031" s="59">
        <v>7382.34</v>
      </c>
      <c r="D1031" s="5"/>
    </row>
    <row r="1032" spans="1:4" ht="12.75">
      <c r="A1032" s="18" t="s">
        <v>37</v>
      </c>
      <c r="B1032" s="118" t="s">
        <v>212</v>
      </c>
      <c r="C1032" s="61">
        <v>120.64</v>
      </c>
      <c r="D1032" s="5"/>
    </row>
    <row r="1033" spans="1:4" ht="12.75">
      <c r="A1033" s="31" t="s">
        <v>40</v>
      </c>
      <c r="B1033" s="118" t="s">
        <v>304</v>
      </c>
      <c r="C1033" s="61">
        <f>5.3*230*12</f>
        <v>14628</v>
      </c>
      <c r="D1033" s="5"/>
    </row>
    <row r="1034" spans="1:4" ht="12.75">
      <c r="A1034" s="31"/>
      <c r="B1034" s="83" t="s">
        <v>305</v>
      </c>
      <c r="C1034" s="84">
        <v>6765.5</v>
      </c>
      <c r="D1034" s="5"/>
    </row>
    <row r="1035" spans="1:4" ht="12.75">
      <c r="A1035" s="31" t="s">
        <v>42</v>
      </c>
      <c r="B1035" s="118" t="s">
        <v>216</v>
      </c>
      <c r="C1035" s="61">
        <f>C1021*0.15</f>
        <v>31277.572500000002</v>
      </c>
      <c r="D1035" s="5"/>
    </row>
    <row r="1036" spans="1:4" ht="12.75">
      <c r="A1036" s="8" t="s">
        <v>43</v>
      </c>
      <c r="B1036" s="118" t="s">
        <v>217</v>
      </c>
      <c r="C1036" s="61">
        <f>C1038+C1039+C1040</f>
        <v>30709.52</v>
      </c>
      <c r="D1036" s="5"/>
    </row>
    <row r="1037" spans="1:4" ht="12.75">
      <c r="A1037" s="8"/>
      <c r="B1037" s="66" t="s">
        <v>306</v>
      </c>
      <c r="C1037" s="119"/>
      <c r="D1037" s="5"/>
    </row>
    <row r="1038" spans="1:4" ht="12.75">
      <c r="A1038" s="8"/>
      <c r="B1038" s="66" t="s">
        <v>307</v>
      </c>
      <c r="C1038" s="148">
        <v>25844.86</v>
      </c>
      <c r="D1038" s="5"/>
    </row>
    <row r="1039" spans="1:4" ht="24">
      <c r="A1039" s="8"/>
      <c r="B1039" s="66" t="s">
        <v>308</v>
      </c>
      <c r="C1039" s="148">
        <v>4769</v>
      </c>
      <c r="D1039" s="5"/>
    </row>
    <row r="1040" spans="1:4" ht="12.75">
      <c r="A1040" s="8"/>
      <c r="B1040" s="146" t="s">
        <v>309</v>
      </c>
      <c r="C1040" s="148">
        <v>95.66</v>
      </c>
      <c r="D1040" s="5"/>
    </row>
    <row r="1041" spans="1:4" ht="12.75">
      <c r="A1041" s="8"/>
      <c r="B1041" s="66"/>
      <c r="C1041" s="119"/>
      <c r="D1041" s="5"/>
    </row>
    <row r="1042" spans="1:4" ht="30">
      <c r="A1042" s="8"/>
      <c r="B1042" s="68" t="s">
        <v>310</v>
      </c>
      <c r="C1042" s="69">
        <f>C1023-C1026</f>
        <v>122395.76750000002</v>
      </c>
      <c r="D1042" s="5"/>
    </row>
    <row r="1043" spans="1:4" ht="30">
      <c r="A1043" s="8"/>
      <c r="B1043" s="68" t="s">
        <v>243</v>
      </c>
      <c r="C1043" s="69">
        <v>96471.76</v>
      </c>
      <c r="D1043" s="5"/>
    </row>
    <row r="1044" spans="1:4" ht="15.75">
      <c r="A1044" s="8"/>
      <c r="B1044" s="68" t="s">
        <v>76</v>
      </c>
      <c r="C1044" s="69">
        <f>C1042+C1043</f>
        <v>218867.52750000003</v>
      </c>
      <c r="D1044" s="5"/>
    </row>
    <row r="1045" spans="1:4" ht="15.75">
      <c r="A1045" s="8"/>
      <c r="B1045" s="149"/>
      <c r="C1045" s="35"/>
      <c r="D1045" s="5"/>
    </row>
    <row r="1046" spans="1:4" ht="30">
      <c r="A1046" s="8"/>
      <c r="B1046" s="68" t="s">
        <v>51</v>
      </c>
      <c r="C1046" s="69">
        <f>C1023-(C1008+C1020)</f>
        <v>18320.150000000023</v>
      </c>
      <c r="D1046" s="5"/>
    </row>
    <row r="1047" spans="1:4" ht="15.75">
      <c r="A1047" s="8"/>
      <c r="B1047" s="68" t="s">
        <v>52</v>
      </c>
      <c r="C1047" s="69">
        <v>-12255.49</v>
      </c>
      <c r="D1047" s="5"/>
    </row>
    <row r="1048" spans="1:4" ht="15.75">
      <c r="A1048" s="8"/>
      <c r="B1048" s="68" t="s">
        <v>107</v>
      </c>
      <c r="C1048" s="69">
        <v>-4180.48</v>
      </c>
      <c r="D1048" s="5"/>
    </row>
    <row r="1049" ht="51.75" customHeight="1"/>
    <row r="1050" spans="2:4" ht="15">
      <c r="B1050" s="152" t="s">
        <v>0</v>
      </c>
      <c r="C1050" s="152"/>
      <c r="D1050" s="152"/>
    </row>
    <row r="1051" spans="2:4" ht="15">
      <c r="B1051" s="153" t="s">
        <v>91</v>
      </c>
      <c r="C1051" s="153"/>
      <c r="D1051" s="1"/>
    </row>
    <row r="1052" spans="2:4" ht="18.75">
      <c r="B1052" s="154" t="s">
        <v>311</v>
      </c>
      <c r="C1052" s="154"/>
      <c r="D1052" s="154"/>
    </row>
    <row r="1053" spans="2:4" ht="15.75">
      <c r="B1053" s="155" t="s">
        <v>3</v>
      </c>
      <c r="C1053" s="155"/>
      <c r="D1053" s="155"/>
    </row>
    <row r="1054" spans="2:4" ht="12.75">
      <c r="B1054" s="3"/>
      <c r="C1054" s="4"/>
      <c r="D1054" s="5"/>
    </row>
    <row r="1055" spans="1:4" ht="15">
      <c r="A1055" s="8"/>
      <c r="B1055" s="46" t="s">
        <v>4</v>
      </c>
      <c r="C1055" s="47">
        <v>521.62</v>
      </c>
      <c r="D1055" s="5"/>
    </row>
    <row r="1056" spans="1:4" ht="12.75">
      <c r="A1056" s="8"/>
      <c r="B1056" s="48" t="s">
        <v>24</v>
      </c>
      <c r="C1056" s="49">
        <v>5.33</v>
      </c>
      <c r="D1056" s="13"/>
    </row>
    <row r="1057" spans="1:4" ht="12.75">
      <c r="A1057" s="8"/>
      <c r="B1057" s="50" t="s">
        <v>6</v>
      </c>
      <c r="C1057" s="49">
        <v>9.16</v>
      </c>
      <c r="D1057" s="13"/>
    </row>
    <row r="1058" spans="1:4" ht="18.75">
      <c r="A1058" s="8">
        <v>1</v>
      </c>
      <c r="B1058" s="16" t="s">
        <v>7</v>
      </c>
      <c r="C1058" s="51">
        <v>14355.9</v>
      </c>
      <c r="D1058" s="13"/>
    </row>
    <row r="1059" spans="1:4" ht="18.75">
      <c r="A1059" s="18">
        <v>2</v>
      </c>
      <c r="B1059" s="19" t="s">
        <v>25</v>
      </c>
      <c r="C1059" s="51">
        <f>C1060+C1061</f>
        <v>123725.43</v>
      </c>
      <c r="D1059" s="5"/>
    </row>
    <row r="1060" spans="1:4" ht="15">
      <c r="A1060" s="18">
        <v>3</v>
      </c>
      <c r="B1060" s="23" t="s">
        <v>26</v>
      </c>
      <c r="C1060" s="24">
        <f>33362.76+57336.6</f>
        <v>90699.36</v>
      </c>
      <c r="D1060" s="5"/>
    </row>
    <row r="1061" spans="1:4" ht="15">
      <c r="A1061" s="18">
        <v>4</v>
      </c>
      <c r="B1061" s="23" t="s">
        <v>96</v>
      </c>
      <c r="C1061" s="24">
        <f>11668.8+21357.27</f>
        <v>33026.07</v>
      </c>
      <c r="D1061" s="5"/>
    </row>
    <row r="1062" spans="1:4" ht="18">
      <c r="A1062" s="18">
        <v>5</v>
      </c>
      <c r="B1062" s="19" t="s">
        <v>28</v>
      </c>
      <c r="C1062" s="20">
        <f>C1063+C1064</f>
        <v>121213.86</v>
      </c>
      <c r="D1062" s="13"/>
    </row>
    <row r="1063" spans="1:4" ht="15.75">
      <c r="A1063" s="18">
        <v>6</v>
      </c>
      <c r="B1063" s="89" t="s">
        <v>97</v>
      </c>
      <c r="C1063" s="35">
        <f>33474.33+57522.5</f>
        <v>90996.83</v>
      </c>
      <c r="D1063" s="13"/>
    </row>
    <row r="1064" spans="1:4" ht="15.75">
      <c r="A1064" s="18">
        <v>7</v>
      </c>
      <c r="B1064" s="89" t="s">
        <v>98</v>
      </c>
      <c r="C1064" s="35">
        <f>10657.16+19559.87</f>
        <v>30217.03</v>
      </c>
      <c r="D1064" s="5"/>
    </row>
    <row r="1065" spans="1:4" ht="18">
      <c r="A1065" s="18"/>
      <c r="B1065" s="90"/>
      <c r="C1065" s="20"/>
      <c r="D1065" s="13"/>
    </row>
    <row r="1066" spans="1:4" ht="36">
      <c r="A1066" s="18">
        <v>8</v>
      </c>
      <c r="B1066" s="53" t="s">
        <v>12</v>
      </c>
      <c r="C1066" s="74">
        <f>C1067+C1068</f>
        <v>90381.53399999999</v>
      </c>
      <c r="D1066" s="13"/>
    </row>
    <row r="1067" spans="1:4" ht="15.75">
      <c r="A1067" s="18" t="s">
        <v>40</v>
      </c>
      <c r="B1067" s="92" t="s">
        <v>99</v>
      </c>
      <c r="C1067" s="139">
        <f>671*58.87</f>
        <v>39501.77</v>
      </c>
      <c r="D1067" s="13"/>
    </row>
    <row r="1068" spans="1:4" ht="15.75">
      <c r="A1068" s="18" t="s">
        <v>42</v>
      </c>
      <c r="B1068" s="92" t="s">
        <v>36</v>
      </c>
      <c r="C1068" s="139">
        <f>C1069+C1070+C1071+C1072+C1073+C1074</f>
        <v>50879.763999999996</v>
      </c>
      <c r="D1068" s="13"/>
    </row>
    <row r="1069" spans="1:4" ht="38.25">
      <c r="A1069" s="31" t="s">
        <v>312</v>
      </c>
      <c r="B1069" s="32" t="s">
        <v>14</v>
      </c>
      <c r="C1069" s="59">
        <v>12221.68</v>
      </c>
      <c r="D1069" s="5"/>
    </row>
    <row r="1070" spans="1:4" ht="12.75">
      <c r="A1070" s="18" t="s">
        <v>313</v>
      </c>
      <c r="B1070" s="60" t="s">
        <v>39</v>
      </c>
      <c r="C1070" s="61">
        <v>60.32</v>
      </c>
      <c r="D1070" s="5"/>
    </row>
    <row r="1071" spans="1:4" ht="12.75">
      <c r="A1071" s="18" t="s">
        <v>314</v>
      </c>
      <c r="B1071" s="62" t="s">
        <v>41</v>
      </c>
      <c r="C1071" s="61">
        <v>6196.59</v>
      </c>
      <c r="D1071" s="5"/>
    </row>
    <row r="1072" spans="1:4" ht="12.75">
      <c r="A1072" s="31" t="s">
        <v>315</v>
      </c>
      <c r="B1072" s="60" t="s">
        <v>316</v>
      </c>
      <c r="C1072" s="61">
        <f>2.3*230*12</f>
        <v>6348</v>
      </c>
      <c r="D1072" s="5"/>
    </row>
    <row r="1073" spans="1:4" ht="12.75">
      <c r="A1073" s="31" t="s">
        <v>317</v>
      </c>
      <c r="B1073" s="60" t="s">
        <v>44</v>
      </c>
      <c r="C1073" s="84">
        <f>C1060*0.15</f>
        <v>13604.904</v>
      </c>
      <c r="D1073" s="5"/>
    </row>
    <row r="1074" spans="1:4" ht="12.75">
      <c r="A1074" s="18" t="s">
        <v>318</v>
      </c>
      <c r="B1074" s="60" t="s">
        <v>46</v>
      </c>
      <c r="C1074" s="61">
        <v>12448.27</v>
      </c>
      <c r="D1074" s="13"/>
    </row>
    <row r="1075" spans="1:4" ht="15.75">
      <c r="A1075" s="8"/>
      <c r="B1075" s="68"/>
      <c r="C1075" s="69"/>
      <c r="D1075" s="5"/>
    </row>
    <row r="1076" spans="1:4" ht="30">
      <c r="A1076" s="8"/>
      <c r="B1076" s="68" t="s">
        <v>51</v>
      </c>
      <c r="C1076" s="69">
        <f>C1062-(C1058+C1059)</f>
        <v>-16867.469999999987</v>
      </c>
      <c r="D1076" s="13"/>
    </row>
    <row r="1077" spans="1:4" ht="15.75">
      <c r="A1077" s="8"/>
      <c r="B1077" s="68" t="s">
        <v>52</v>
      </c>
      <c r="C1077" s="69">
        <v>-12081.44</v>
      </c>
      <c r="D1077" s="5"/>
    </row>
    <row r="1078" spans="1:4" ht="15.75">
      <c r="A1078" s="8"/>
      <c r="B1078" s="68" t="s">
        <v>107</v>
      </c>
      <c r="C1078" s="69">
        <v>-4786.03</v>
      </c>
      <c r="D1078" s="5"/>
    </row>
    <row r="1079" spans="1:4" ht="15.75">
      <c r="A1079" s="65"/>
      <c r="B1079" s="126"/>
      <c r="C1079" s="114"/>
      <c r="D1079" s="5"/>
    </row>
    <row r="1080" spans="1:2" ht="12.75">
      <c r="A1080" s="65"/>
      <c r="B1080" t="s">
        <v>108</v>
      </c>
    </row>
    <row r="1081" ht="12.75">
      <c r="B1081" t="s">
        <v>171</v>
      </c>
    </row>
    <row r="1082" spans="2:3" ht="12.75">
      <c r="B1082" t="s">
        <v>319</v>
      </c>
      <c r="C1082" s="96">
        <f>671*58.87</f>
        <v>39501.77</v>
      </c>
    </row>
    <row r="1083" spans="2:3" ht="12.75">
      <c r="B1083" t="s">
        <v>320</v>
      </c>
      <c r="C1083" s="96">
        <f>561*58.87</f>
        <v>33026.07</v>
      </c>
    </row>
    <row r="1084" spans="2:3" ht="15">
      <c r="B1084" s="98" t="s">
        <v>321</v>
      </c>
      <c r="C1084" s="99">
        <f>C1082-C1083</f>
        <v>6475.699999999997</v>
      </c>
    </row>
    <row r="1085" ht="51.75" customHeight="1"/>
    <row r="1086" spans="2:4" ht="15">
      <c r="B1086" s="152" t="s">
        <v>0</v>
      </c>
      <c r="C1086" s="152"/>
      <c r="D1086" s="152"/>
    </row>
    <row r="1087" spans="2:4" ht="15">
      <c r="B1087" s="153" t="s">
        <v>91</v>
      </c>
      <c r="C1087" s="153"/>
      <c r="D1087" s="1"/>
    </row>
    <row r="1088" spans="2:4" ht="18.75">
      <c r="B1088" s="154" t="s">
        <v>322</v>
      </c>
      <c r="C1088" s="154"/>
      <c r="D1088" s="154"/>
    </row>
    <row r="1089" spans="2:4" ht="15.75">
      <c r="B1089" s="155" t="s">
        <v>3</v>
      </c>
      <c r="C1089" s="155"/>
      <c r="D1089" s="155"/>
    </row>
    <row r="1090" spans="2:4" ht="14.25">
      <c r="B1090" s="6"/>
      <c r="C1090" s="7"/>
      <c r="D1090" s="5"/>
    </row>
    <row r="1091" spans="1:4" ht="15">
      <c r="A1091" s="8"/>
      <c r="B1091" s="46" t="s">
        <v>4</v>
      </c>
      <c r="C1091" s="47">
        <v>1301.7</v>
      </c>
      <c r="D1091" s="5"/>
    </row>
    <row r="1092" spans="1:4" ht="12.75">
      <c r="A1092" s="8"/>
      <c r="B1092" s="48" t="s">
        <v>24</v>
      </c>
      <c r="C1092" s="49">
        <v>5.33</v>
      </c>
      <c r="D1092" s="13"/>
    </row>
    <row r="1093" spans="1:4" ht="12.75">
      <c r="A1093" s="8"/>
      <c r="B1093" s="50" t="s">
        <v>6</v>
      </c>
      <c r="C1093" s="49">
        <v>9.16</v>
      </c>
      <c r="D1093" s="13"/>
    </row>
    <row r="1094" spans="1:4" ht="18.75">
      <c r="A1094" s="8"/>
      <c r="B1094" s="16" t="s">
        <v>7</v>
      </c>
      <c r="C1094" s="51">
        <f>8198.01+5028.57+9842.65+14078.44</f>
        <v>37147.67</v>
      </c>
      <c r="D1094" s="13"/>
    </row>
    <row r="1095" spans="1:4" ht="18.75">
      <c r="A1095" s="18">
        <v>1</v>
      </c>
      <c r="B1095" s="19" t="s">
        <v>25</v>
      </c>
      <c r="C1095" s="51">
        <f>C1096+C1097</f>
        <v>341205.16000000003</v>
      </c>
      <c r="D1095" s="5"/>
    </row>
    <row r="1096" spans="1:4" ht="15">
      <c r="A1096" s="18" t="s">
        <v>93</v>
      </c>
      <c r="B1096" s="23" t="s">
        <v>158</v>
      </c>
      <c r="C1096" s="24">
        <f>83227.95+143033.49</f>
        <v>226261.44</v>
      </c>
      <c r="D1096" s="5"/>
    </row>
    <row r="1097" spans="1:4" ht="15">
      <c r="A1097" s="18" t="s">
        <v>95</v>
      </c>
      <c r="B1097" s="23" t="s">
        <v>96</v>
      </c>
      <c r="C1097" s="24">
        <f>40612+74331.72</f>
        <v>114943.72</v>
      </c>
      <c r="D1097" s="5"/>
    </row>
    <row r="1098" spans="1:4" ht="18">
      <c r="A1098" s="18">
        <v>2</v>
      </c>
      <c r="B1098" s="19" t="s">
        <v>28</v>
      </c>
      <c r="C1098" s="20">
        <f>C1099+C1100</f>
        <v>322180.58999999997</v>
      </c>
      <c r="D1098" s="13"/>
    </row>
    <row r="1099" spans="1:4" ht="15.75">
      <c r="A1099" s="18" t="s">
        <v>29</v>
      </c>
      <c r="B1099" s="89" t="s">
        <v>323</v>
      </c>
      <c r="C1099" s="35">
        <f>78529.64+134956.55</f>
        <v>213486.19</v>
      </c>
      <c r="D1099" s="13"/>
    </row>
    <row r="1100" spans="1:4" ht="15.75">
      <c r="A1100" s="18" t="s">
        <v>31</v>
      </c>
      <c r="B1100" s="89" t="s">
        <v>98</v>
      </c>
      <c r="C1100" s="35">
        <f>38381.59+70312.81</f>
        <v>108694.4</v>
      </c>
      <c r="D1100" s="5"/>
    </row>
    <row r="1101" spans="1:4" ht="36">
      <c r="A1101" s="18">
        <v>5</v>
      </c>
      <c r="B1101" s="53" t="s">
        <v>12</v>
      </c>
      <c r="C1101" s="56">
        <f>C1102+C1104</f>
        <v>361052.086</v>
      </c>
      <c r="D1101" s="13"/>
    </row>
    <row r="1102" spans="1:4" ht="18.75">
      <c r="A1102" s="91" t="s">
        <v>33</v>
      </c>
      <c r="B1102" s="92" t="s">
        <v>32</v>
      </c>
      <c r="C1102" s="56">
        <f>C1103</f>
        <v>115620.68</v>
      </c>
      <c r="D1102" s="13"/>
    </row>
    <row r="1103" spans="1:4" ht="15.75">
      <c r="A1103" s="18"/>
      <c r="B1103" s="92" t="s">
        <v>324</v>
      </c>
      <c r="C1103" s="93">
        <f>1964*58.87</f>
        <v>115620.68</v>
      </c>
      <c r="D1103" s="13"/>
    </row>
    <row r="1104" spans="1:4" ht="18.75">
      <c r="A1104" s="18" t="s">
        <v>35</v>
      </c>
      <c r="B1104" s="92" t="s">
        <v>36</v>
      </c>
      <c r="C1104" s="56">
        <f>C1105+C1106+C1107+C1108+C1109+C1110+C1111</f>
        <v>245431.40600000002</v>
      </c>
      <c r="D1104" s="13"/>
    </row>
    <row r="1105" spans="1:4" ht="25.5">
      <c r="A1105" s="31" t="s">
        <v>38</v>
      </c>
      <c r="B1105" s="32" t="s">
        <v>325</v>
      </c>
      <c r="C1105" s="59">
        <v>36123.65</v>
      </c>
      <c r="D1105" s="5"/>
    </row>
    <row r="1106" spans="1:4" ht="12.75">
      <c r="A1106" s="18" t="s">
        <v>100</v>
      </c>
      <c r="B1106" s="60" t="s">
        <v>326</v>
      </c>
      <c r="C1106" s="61">
        <v>134.8</v>
      </c>
      <c r="D1106" s="5"/>
    </row>
    <row r="1107" spans="1:4" ht="12.75">
      <c r="A1107" s="18" t="s">
        <v>40</v>
      </c>
      <c r="B1107" s="111" t="s">
        <v>327</v>
      </c>
      <c r="C1107" s="61">
        <v>58364.76</v>
      </c>
      <c r="D1107" s="5"/>
    </row>
    <row r="1108" spans="1:4" ht="12.75">
      <c r="A1108" s="18" t="s">
        <v>42</v>
      </c>
      <c r="B1108" s="62" t="s">
        <v>328</v>
      </c>
      <c r="C1108" s="61">
        <v>5557.68</v>
      </c>
      <c r="D1108" s="5"/>
    </row>
    <row r="1109" spans="1:4" ht="12.75">
      <c r="A1109" s="31" t="s">
        <v>43</v>
      </c>
      <c r="B1109" s="60" t="s">
        <v>329</v>
      </c>
      <c r="C1109" s="61">
        <f>5.9*230*12</f>
        <v>16284</v>
      </c>
      <c r="D1109" s="5"/>
    </row>
    <row r="1110" spans="1:4" ht="12.75">
      <c r="A1110" s="31" t="s">
        <v>104</v>
      </c>
      <c r="B1110" s="60" t="s">
        <v>330</v>
      </c>
      <c r="C1110" s="61">
        <f>C1096*0.15</f>
        <v>33939.216</v>
      </c>
      <c r="D1110" s="5"/>
    </row>
    <row r="1111" spans="1:4" ht="12.75">
      <c r="A1111" s="18" t="s">
        <v>331</v>
      </c>
      <c r="B1111" s="60" t="s">
        <v>332</v>
      </c>
      <c r="C1111" s="128">
        <v>95027.3</v>
      </c>
      <c r="D1111" s="13"/>
    </row>
    <row r="1112" spans="1:4" ht="12.75">
      <c r="A1112" s="18"/>
      <c r="B1112" s="60"/>
      <c r="C1112" s="128"/>
      <c r="D1112" s="13"/>
    </row>
    <row r="1113" spans="1:3" ht="30">
      <c r="A1113" s="8"/>
      <c r="B1113" s="68" t="s">
        <v>242</v>
      </c>
      <c r="C1113" s="69">
        <f>C1098-C1101</f>
        <v>-38871.49600000004</v>
      </c>
    </row>
    <row r="1114" spans="1:3" ht="30">
      <c r="A1114" s="8"/>
      <c r="B1114" s="68" t="s">
        <v>243</v>
      </c>
      <c r="C1114" s="69">
        <v>-6820.81</v>
      </c>
    </row>
    <row r="1115" spans="1:3" ht="15.75">
      <c r="A1115" s="8"/>
      <c r="B1115" s="68" t="s">
        <v>76</v>
      </c>
      <c r="C1115" s="69">
        <f>C1113+C1114</f>
        <v>-45692.30600000004</v>
      </c>
    </row>
    <row r="1116" spans="1:4" ht="15.75">
      <c r="A1116" s="8"/>
      <c r="B1116" s="68"/>
      <c r="C1116" s="69"/>
      <c r="D1116" s="5"/>
    </row>
    <row r="1117" spans="1:4" ht="30">
      <c r="A1117" s="8"/>
      <c r="B1117" s="68" t="s">
        <v>51</v>
      </c>
      <c r="C1117" s="35">
        <f>C1098-(C1094+C1095)</f>
        <v>-56172.24000000005</v>
      </c>
      <c r="D1117" s="13"/>
    </row>
    <row r="1118" spans="1:4" ht="15.75">
      <c r="A1118" s="8"/>
      <c r="B1118" s="68" t="s">
        <v>52</v>
      </c>
      <c r="C1118" s="35">
        <v>-35051.7</v>
      </c>
      <c r="D1118" s="13"/>
    </row>
    <row r="1119" spans="1:4" ht="15.75">
      <c r="A1119" s="8"/>
      <c r="B1119" s="68" t="s">
        <v>107</v>
      </c>
      <c r="C1119" s="35">
        <v>-21120.54</v>
      </c>
      <c r="D1119" s="5"/>
    </row>
    <row r="1120" spans="1:3" ht="15.75">
      <c r="A1120" s="150"/>
      <c r="B1120" s="87"/>
      <c r="C1120" s="35"/>
    </row>
    <row r="1121" ht="51" customHeight="1"/>
    <row r="1122" spans="2:4" ht="15">
      <c r="B1122" s="152" t="s">
        <v>0</v>
      </c>
      <c r="C1122" s="152"/>
      <c r="D1122" s="152"/>
    </row>
    <row r="1123" spans="2:4" ht="15">
      <c r="B1123" s="153" t="s">
        <v>1</v>
      </c>
      <c r="C1123" s="153"/>
      <c r="D1123" s="1"/>
    </row>
    <row r="1124" spans="2:4" ht="18.75">
      <c r="B1124" s="154" t="s">
        <v>333</v>
      </c>
      <c r="C1124" s="154"/>
      <c r="D1124" s="154"/>
    </row>
    <row r="1125" spans="2:4" ht="15.75">
      <c r="B1125" s="155" t="s">
        <v>3</v>
      </c>
      <c r="C1125" s="155"/>
      <c r="D1125" s="155"/>
    </row>
    <row r="1126" spans="2:4" ht="12.75">
      <c r="B1126" s="3"/>
      <c r="C1126" s="4"/>
      <c r="D1126" s="5"/>
    </row>
    <row r="1127" spans="1:4" ht="15">
      <c r="A1127" s="8"/>
      <c r="B1127" s="46" t="s">
        <v>4</v>
      </c>
      <c r="C1127" s="47">
        <v>531.98</v>
      </c>
      <c r="D1127" s="5"/>
    </row>
    <row r="1128" spans="1:4" ht="12.75">
      <c r="A1128" s="8"/>
      <c r="B1128" s="48" t="s">
        <v>24</v>
      </c>
      <c r="C1128" s="49">
        <v>3.74</v>
      </c>
      <c r="D1128" s="13"/>
    </row>
    <row r="1129" spans="1:4" ht="12.75">
      <c r="A1129" s="8"/>
      <c r="B1129" s="50" t="s">
        <v>6</v>
      </c>
      <c r="C1129" s="49">
        <v>6.42</v>
      </c>
      <c r="D1129" s="13"/>
    </row>
    <row r="1130" spans="1:4" ht="18.75">
      <c r="A1130" s="8"/>
      <c r="B1130" s="16" t="s">
        <v>7</v>
      </c>
      <c r="C1130" s="51">
        <f>8632.1+990.42+14785.58</f>
        <v>24408.1</v>
      </c>
      <c r="D1130" s="13"/>
    </row>
    <row r="1131" spans="1:4" ht="18.75">
      <c r="A1131" s="18">
        <v>1</v>
      </c>
      <c r="B1131" s="19" t="s">
        <v>25</v>
      </c>
      <c r="C1131" s="51">
        <f>C1132+C1133</f>
        <v>66772.79999999999</v>
      </c>
      <c r="D1131" s="5"/>
    </row>
    <row r="1132" spans="1:4" ht="15">
      <c r="A1132" s="18"/>
      <c r="B1132" s="23" t="s">
        <v>26</v>
      </c>
      <c r="C1132" s="24">
        <f>23867.88+40970.52</f>
        <v>64838.399999999994</v>
      </c>
      <c r="D1132" s="5"/>
    </row>
    <row r="1133" spans="1:4" ht="15">
      <c r="A1133" s="18"/>
      <c r="B1133" s="23" t="s">
        <v>303</v>
      </c>
      <c r="C1133" s="24">
        <v>1934.4</v>
      </c>
      <c r="D1133" s="5"/>
    </row>
    <row r="1134" spans="1:4" ht="18">
      <c r="A1134" s="18">
        <v>2</v>
      </c>
      <c r="B1134" s="19" t="s">
        <v>28</v>
      </c>
      <c r="C1134" s="20">
        <f>C1135+C1136</f>
        <v>75269.36000000002</v>
      </c>
      <c r="D1134" s="5"/>
    </row>
    <row r="1135" spans="1:4" ht="15.75">
      <c r="A1135" s="18" t="s">
        <v>29</v>
      </c>
      <c r="B1135" s="52" t="s">
        <v>30</v>
      </c>
      <c r="C1135" s="35">
        <f>26764.72+45924.29</f>
        <v>72689.01000000001</v>
      </c>
      <c r="D1135" s="5"/>
    </row>
    <row r="1136" spans="1:4" ht="15.75">
      <c r="A1136" s="18" t="s">
        <v>31</v>
      </c>
      <c r="B1136" s="52" t="s">
        <v>60</v>
      </c>
      <c r="C1136" s="35">
        <v>2580.35</v>
      </c>
      <c r="D1136" s="5"/>
    </row>
    <row r="1137" spans="1:4" ht="36">
      <c r="A1137" s="18">
        <v>5</v>
      </c>
      <c r="B1137" s="53" t="s">
        <v>12</v>
      </c>
      <c r="C1137" s="54">
        <f>C1138+C1140</f>
        <v>93399.11</v>
      </c>
      <c r="D1137" s="5"/>
    </row>
    <row r="1138" spans="1:4" ht="18.75">
      <c r="A1138" s="18"/>
      <c r="B1138" s="55" t="s">
        <v>32</v>
      </c>
      <c r="C1138" s="56">
        <f>C1139</f>
        <v>3515.2000000000003</v>
      </c>
      <c r="D1138" s="5"/>
    </row>
    <row r="1139" spans="1:4" ht="15">
      <c r="A1139" s="18" t="s">
        <v>33</v>
      </c>
      <c r="B1139" s="57" t="s">
        <v>34</v>
      </c>
      <c r="C1139" s="58">
        <f>169*20.8</f>
        <v>3515.2000000000003</v>
      </c>
      <c r="D1139" s="5"/>
    </row>
    <row r="1140" spans="1:4" ht="18.75">
      <c r="A1140" s="18" t="s">
        <v>35</v>
      </c>
      <c r="B1140" s="55" t="s">
        <v>36</v>
      </c>
      <c r="C1140" s="56">
        <f>C1141+C1142+C1143+C1144+C1145+C1146+C1147</f>
        <v>89883.91</v>
      </c>
      <c r="D1140" s="5"/>
    </row>
    <row r="1141" spans="1:4" ht="38.25">
      <c r="A1141" s="31" t="s">
        <v>37</v>
      </c>
      <c r="B1141" s="32" t="s">
        <v>14</v>
      </c>
      <c r="C1141" s="59">
        <v>6463.51</v>
      </c>
      <c r="D1141" s="5"/>
    </row>
    <row r="1142" spans="1:4" ht="12.75">
      <c r="A1142" s="18" t="s">
        <v>38</v>
      </c>
      <c r="B1142" s="60" t="s">
        <v>39</v>
      </c>
      <c r="C1142" s="61">
        <v>75.9</v>
      </c>
      <c r="D1142" s="5"/>
    </row>
    <row r="1143" spans="1:4" ht="12.75">
      <c r="A1143" s="18" t="s">
        <v>40</v>
      </c>
      <c r="B1143" s="62" t="s">
        <v>41</v>
      </c>
      <c r="C1143" s="61">
        <v>5984.55</v>
      </c>
      <c r="D1143" s="5"/>
    </row>
    <row r="1144" spans="1:4" ht="12.75">
      <c r="A1144" s="31" t="s">
        <v>42</v>
      </c>
      <c r="B1144" s="60" t="s">
        <v>334</v>
      </c>
      <c r="C1144" s="61">
        <f>2.7*230*12</f>
        <v>7452</v>
      </c>
      <c r="D1144" s="5"/>
    </row>
    <row r="1145" spans="1:4" ht="12.75">
      <c r="A1145" s="31"/>
      <c r="B1145" s="87" t="s">
        <v>335</v>
      </c>
      <c r="C1145" s="59">
        <v>472.47</v>
      </c>
      <c r="D1145" s="5"/>
    </row>
    <row r="1146" spans="1:3" ht="12.75">
      <c r="A1146" s="31" t="s">
        <v>43</v>
      </c>
      <c r="B1146" s="60" t="s">
        <v>44</v>
      </c>
      <c r="C1146" s="61">
        <f>C1132*0.15</f>
        <v>9725.759999999998</v>
      </c>
    </row>
    <row r="1147" spans="1:3" ht="12.75">
      <c r="A1147" s="18" t="s">
        <v>45</v>
      </c>
      <c r="B1147" s="60" t="s">
        <v>46</v>
      </c>
      <c r="C1147" s="61">
        <v>59709.72</v>
      </c>
    </row>
    <row r="1148" spans="1:3" ht="12.75">
      <c r="A1148" s="18"/>
      <c r="B1148" s="63" t="s">
        <v>47</v>
      </c>
      <c r="C1148" s="61"/>
    </row>
    <row r="1149" spans="1:4" ht="30">
      <c r="A1149" s="8"/>
      <c r="B1149" s="68" t="s">
        <v>50</v>
      </c>
      <c r="C1149" s="69">
        <f>C1134-C1137</f>
        <v>-18129.749999999985</v>
      </c>
      <c r="D1149" s="65"/>
    </row>
    <row r="1150" spans="1:4" ht="15.75">
      <c r="A1150" s="8"/>
      <c r="B1150" s="68" t="s">
        <v>136</v>
      </c>
      <c r="C1150" s="69">
        <v>51283.95</v>
      </c>
      <c r="D1150" s="65"/>
    </row>
    <row r="1151" spans="1:4" ht="15.75">
      <c r="A1151" s="8"/>
      <c r="B1151" s="68" t="s">
        <v>76</v>
      </c>
      <c r="C1151" s="69">
        <f>C1149+C1150</f>
        <v>33154.20000000001</v>
      </c>
      <c r="D1151" s="65"/>
    </row>
    <row r="1152" spans="1:4" ht="15.75">
      <c r="A1152" s="8"/>
      <c r="B1152" s="68"/>
      <c r="C1152" s="69"/>
      <c r="D1152" s="65"/>
    </row>
    <row r="1153" spans="1:3" ht="30">
      <c r="A1153" s="8"/>
      <c r="B1153" s="68" t="s">
        <v>51</v>
      </c>
      <c r="C1153" s="69">
        <f>C1134-(C1130+C1131)</f>
        <v>-15911.539999999979</v>
      </c>
    </row>
    <row r="1154" spans="1:3" ht="15.75">
      <c r="A1154" s="8"/>
      <c r="B1154" s="68" t="s">
        <v>52</v>
      </c>
      <c r="C1154" s="24">
        <v>-15567.07</v>
      </c>
    </row>
    <row r="1155" spans="1:3" ht="15.75">
      <c r="A1155" s="8"/>
      <c r="B1155" s="68" t="s">
        <v>336</v>
      </c>
      <c r="C1155" s="24">
        <v>-344.47</v>
      </c>
    </row>
    <row r="1157" ht="12.75">
      <c r="B1157" t="s">
        <v>108</v>
      </c>
    </row>
    <row r="1158" ht="12.75">
      <c r="B1158" t="s">
        <v>171</v>
      </c>
    </row>
    <row r="1159" spans="2:3" ht="12.75">
      <c r="B1159" t="s">
        <v>337</v>
      </c>
      <c r="C1159" s="97">
        <f>169*20.8</f>
        <v>3515.2000000000003</v>
      </c>
    </row>
    <row r="1160" spans="2:3" ht="12.75">
      <c r="B1160" t="s">
        <v>338</v>
      </c>
      <c r="C1160" s="97">
        <f>93*20.8</f>
        <v>1934.4</v>
      </c>
    </row>
    <row r="1161" spans="2:3" ht="15">
      <c r="B1161" s="98" t="s">
        <v>339</v>
      </c>
      <c r="C1161" s="99">
        <f>C1159-C1160</f>
        <v>1580.8000000000002</v>
      </c>
    </row>
    <row r="1162" ht="54.75" customHeight="1"/>
    <row r="1163" spans="2:4" ht="15">
      <c r="B1163" s="152" t="s">
        <v>0</v>
      </c>
      <c r="C1163" s="152"/>
      <c r="D1163" s="152"/>
    </row>
    <row r="1164" spans="2:4" ht="15">
      <c r="B1164" s="153" t="s">
        <v>91</v>
      </c>
      <c r="C1164" s="153"/>
      <c r="D1164" s="1"/>
    </row>
    <row r="1165" spans="2:4" ht="18.75">
      <c r="B1165" s="154" t="s">
        <v>349</v>
      </c>
      <c r="C1165" s="154"/>
      <c r="D1165" s="154"/>
    </row>
    <row r="1166" spans="2:4" ht="15.75">
      <c r="B1166" s="155" t="s">
        <v>3</v>
      </c>
      <c r="C1166" s="155"/>
      <c r="D1166" s="155"/>
    </row>
    <row r="1167" spans="2:4" ht="14.25">
      <c r="B1167" s="6"/>
      <c r="C1167" s="7"/>
      <c r="D1167" s="5"/>
    </row>
    <row r="1168" spans="1:4" ht="15">
      <c r="A1168" s="8"/>
      <c r="B1168" s="46" t="s">
        <v>4</v>
      </c>
      <c r="C1168" s="47">
        <v>280.96</v>
      </c>
      <c r="D1168" s="5"/>
    </row>
    <row r="1169" spans="1:4" ht="12.75">
      <c r="A1169" s="8"/>
      <c r="B1169" s="48" t="s">
        <v>24</v>
      </c>
      <c r="C1169" s="49">
        <v>3.74</v>
      </c>
      <c r="D1169" s="13"/>
    </row>
    <row r="1170" spans="1:4" ht="12.75">
      <c r="A1170" s="8"/>
      <c r="B1170" s="50" t="s">
        <v>6</v>
      </c>
      <c r="C1170" s="49">
        <v>6.42</v>
      </c>
      <c r="D1170" s="13"/>
    </row>
    <row r="1171" spans="1:4" ht="18.75">
      <c r="A1171" s="8"/>
      <c r="B1171" s="16" t="s">
        <v>7</v>
      </c>
      <c r="C1171" s="51">
        <f>3555.13+2226.11+6090.29</f>
        <v>11871.529999999999</v>
      </c>
      <c r="D1171" s="13"/>
    </row>
    <row r="1172" spans="1:4" ht="18.75">
      <c r="A1172" s="18">
        <v>1</v>
      </c>
      <c r="B1172" s="19" t="s">
        <v>25</v>
      </c>
      <c r="C1172" s="51">
        <f>C1173+C1174</f>
        <v>45388.64</v>
      </c>
      <c r="D1172" s="5"/>
    </row>
    <row r="1173" spans="1:4" ht="15">
      <c r="A1173" s="18" t="s">
        <v>93</v>
      </c>
      <c r="B1173" s="23" t="s">
        <v>204</v>
      </c>
      <c r="C1173" s="24">
        <f>15461.4+26541.24</f>
        <v>42002.64</v>
      </c>
      <c r="D1173" s="5"/>
    </row>
    <row r="1174" spans="1:4" ht="15">
      <c r="A1174" s="18" t="s">
        <v>95</v>
      </c>
      <c r="B1174" s="23" t="s">
        <v>340</v>
      </c>
      <c r="C1174" s="24">
        <f>3386</f>
        <v>3386</v>
      </c>
      <c r="D1174" s="5"/>
    </row>
    <row r="1175" spans="1:4" ht="18">
      <c r="A1175" s="18">
        <v>2</v>
      </c>
      <c r="B1175" s="19" t="s">
        <v>28</v>
      </c>
      <c r="C1175" s="20">
        <f>C1176+C1177</f>
        <v>39877.63</v>
      </c>
      <c r="D1175" s="13"/>
    </row>
    <row r="1176" spans="1:4" ht="15.75">
      <c r="A1176" s="18" t="s">
        <v>29</v>
      </c>
      <c r="B1176" s="52" t="s">
        <v>341</v>
      </c>
      <c r="C1176" s="35">
        <f>13759.76+23619.19</f>
        <v>37378.95</v>
      </c>
      <c r="D1176" s="13"/>
    </row>
    <row r="1177" spans="1:4" ht="15.75">
      <c r="A1177" s="18" t="s">
        <v>31</v>
      </c>
      <c r="B1177" s="52" t="s">
        <v>342</v>
      </c>
      <c r="C1177" s="35">
        <f>2498.68</f>
        <v>2498.68</v>
      </c>
      <c r="D1177" s="5"/>
    </row>
    <row r="1178" spans="1:4" ht="36">
      <c r="A1178" s="18">
        <v>5</v>
      </c>
      <c r="B1178" s="53" t="s">
        <v>12</v>
      </c>
      <c r="C1178" s="56">
        <f>C1179+C1181</f>
        <v>64161.21599999999</v>
      </c>
      <c r="D1178" s="13"/>
    </row>
    <row r="1179" spans="1:4" ht="18.75">
      <c r="A1179" s="91" t="s">
        <v>33</v>
      </c>
      <c r="B1179" s="92" t="s">
        <v>32</v>
      </c>
      <c r="C1179" s="56">
        <f>C1180</f>
        <v>2329.6</v>
      </c>
      <c r="D1179" s="13"/>
    </row>
    <row r="1180" spans="1:4" ht="15.75">
      <c r="A1180" s="18"/>
      <c r="B1180" s="92" t="s">
        <v>99</v>
      </c>
      <c r="C1180" s="93">
        <f>112*20.8</f>
        <v>2329.6</v>
      </c>
      <c r="D1180" s="13"/>
    </row>
    <row r="1181" spans="1:4" ht="18.75">
      <c r="A1181" s="18" t="s">
        <v>35</v>
      </c>
      <c r="B1181" s="92" t="s">
        <v>36</v>
      </c>
      <c r="C1181" s="56">
        <f>C1182+C1183+C1184+C1185+C1186</f>
        <v>61831.615999999995</v>
      </c>
      <c r="D1181" s="13"/>
    </row>
    <row r="1182" spans="1:4" ht="38.25">
      <c r="A1182" s="31" t="s">
        <v>37</v>
      </c>
      <c r="B1182" s="32" t="s">
        <v>14</v>
      </c>
      <c r="C1182" s="61">
        <v>9604.58</v>
      </c>
      <c r="D1182" s="5"/>
    </row>
    <row r="1183" spans="1:4" ht="12.75">
      <c r="A1183" s="31"/>
      <c r="B1183" s="111" t="s">
        <v>343</v>
      </c>
      <c r="C1183" s="61">
        <v>26.9</v>
      </c>
      <c r="D1183" s="5"/>
    </row>
    <row r="1184" spans="1:4" ht="12.75">
      <c r="A1184" s="31" t="s">
        <v>42</v>
      </c>
      <c r="B1184" s="60" t="s">
        <v>344</v>
      </c>
      <c r="C1184" s="61">
        <f>1.8*285*12</f>
        <v>6156</v>
      </c>
      <c r="D1184" s="5"/>
    </row>
    <row r="1185" spans="1:4" ht="12.75">
      <c r="A1185" s="31" t="s">
        <v>103</v>
      </c>
      <c r="B1185" s="60" t="s">
        <v>44</v>
      </c>
      <c r="C1185" s="61">
        <f>C1173*0.15</f>
        <v>6300.396</v>
      </c>
      <c r="D1185" s="5"/>
    </row>
    <row r="1186" spans="1:4" ht="12.75">
      <c r="A1186" s="18" t="s">
        <v>104</v>
      </c>
      <c r="B1186" s="60" t="s">
        <v>46</v>
      </c>
      <c r="C1186" s="128">
        <v>39743.74</v>
      </c>
      <c r="D1186" s="13"/>
    </row>
    <row r="1187" spans="1:4" ht="12.75">
      <c r="A1187" s="8"/>
      <c r="B1187" s="151"/>
      <c r="C1187" s="148"/>
      <c r="D1187" s="5"/>
    </row>
    <row r="1188" spans="1:4" ht="30">
      <c r="A1188" s="8"/>
      <c r="B1188" s="68" t="s">
        <v>242</v>
      </c>
      <c r="C1188" s="69">
        <f>C1175-C1178</f>
        <v>-24283.585999999996</v>
      </c>
      <c r="D1188" s="5"/>
    </row>
    <row r="1189" spans="1:4" ht="30">
      <c r="A1189" s="8"/>
      <c r="B1189" s="68" t="s">
        <v>243</v>
      </c>
      <c r="C1189" s="69">
        <v>16407.49</v>
      </c>
      <c r="D1189" s="5"/>
    </row>
    <row r="1190" spans="1:4" ht="15.75">
      <c r="A1190" s="8"/>
      <c r="B1190" s="68" t="s">
        <v>76</v>
      </c>
      <c r="C1190" s="69">
        <f>C1188+C1189</f>
        <v>-7876.095999999994</v>
      </c>
      <c r="D1190" s="5"/>
    </row>
    <row r="1191" spans="1:4" ht="15.75">
      <c r="A1191" s="8"/>
      <c r="B1191" s="68"/>
      <c r="C1191" s="69"/>
      <c r="D1191" s="5"/>
    </row>
    <row r="1192" spans="1:4" ht="30">
      <c r="A1192" s="8"/>
      <c r="B1192" s="68" t="s">
        <v>51</v>
      </c>
      <c r="C1192" s="69">
        <f>C1175-(C1171+C1172)</f>
        <v>-17382.54</v>
      </c>
      <c r="D1192" s="13"/>
    </row>
    <row r="1193" spans="1:4" ht="15.75">
      <c r="A1193" s="8"/>
      <c r="B1193" s="68" t="s">
        <v>52</v>
      </c>
      <c r="C1193" s="69">
        <v>-14269.11</v>
      </c>
      <c r="D1193" s="5"/>
    </row>
    <row r="1194" spans="1:4" ht="15.75">
      <c r="A1194" s="8"/>
      <c r="B1194" s="68" t="s">
        <v>345</v>
      </c>
      <c r="C1194" s="69">
        <v>-3113.43</v>
      </c>
      <c r="D1194" s="5"/>
    </row>
    <row r="1196" ht="12.75">
      <c r="B1196" t="s">
        <v>108</v>
      </c>
    </row>
    <row r="1197" ht="12.75">
      <c r="B1197" t="s">
        <v>171</v>
      </c>
    </row>
    <row r="1198" spans="2:3" ht="12.75">
      <c r="B1198" t="s">
        <v>346</v>
      </c>
      <c r="C1198" s="96">
        <f>112*20.8</f>
        <v>2329.6</v>
      </c>
    </row>
    <row r="1199" spans="2:3" ht="12.75">
      <c r="B1199" t="s">
        <v>347</v>
      </c>
      <c r="C1199" s="97">
        <f>162.8*20.8</f>
        <v>3386.2400000000002</v>
      </c>
    </row>
    <row r="1200" spans="2:3" ht="15">
      <c r="B1200" s="98" t="s">
        <v>348</v>
      </c>
      <c r="C1200" s="99">
        <f>C1198-C1199</f>
        <v>-1056.6400000000003</v>
      </c>
    </row>
    <row r="1201" ht="53.25" customHeight="1"/>
    <row r="1202" spans="2:4" ht="15">
      <c r="B1202" s="152" t="s">
        <v>0</v>
      </c>
      <c r="C1202" s="152"/>
      <c r="D1202" s="152"/>
    </row>
    <row r="1203" spans="2:4" ht="15">
      <c r="B1203" s="153" t="s">
        <v>1</v>
      </c>
      <c r="C1203" s="153"/>
      <c r="D1203" s="1"/>
    </row>
    <row r="1204" spans="2:4" ht="18.75">
      <c r="B1204" s="154" t="s">
        <v>350</v>
      </c>
      <c r="C1204" s="154"/>
      <c r="D1204" s="154"/>
    </row>
    <row r="1205" spans="2:4" ht="15.75">
      <c r="B1205" s="155" t="s">
        <v>3</v>
      </c>
      <c r="C1205" s="155"/>
      <c r="D1205" s="155"/>
    </row>
    <row r="1206" spans="2:4" ht="12.75">
      <c r="B1206" s="3"/>
      <c r="C1206" s="4"/>
      <c r="D1206" s="5"/>
    </row>
    <row r="1207" spans="2:4" ht="14.25">
      <c r="B1207" s="6"/>
      <c r="C1207" s="7"/>
      <c r="D1207" s="5"/>
    </row>
    <row r="1208" spans="1:4" ht="15.75">
      <c r="A1208" s="8"/>
      <c r="B1208" s="9" t="s">
        <v>4</v>
      </c>
      <c r="C1208" s="10">
        <v>330.53</v>
      </c>
      <c r="D1208" s="5"/>
    </row>
    <row r="1209" spans="1:4" ht="15">
      <c r="A1209" s="8"/>
      <c r="B1209" s="11" t="s">
        <v>5</v>
      </c>
      <c r="C1209" s="12">
        <v>3.2</v>
      </c>
      <c r="D1209" s="13"/>
    </row>
    <row r="1210" spans="1:4" ht="15">
      <c r="A1210" s="8"/>
      <c r="B1210" s="14" t="s">
        <v>6</v>
      </c>
      <c r="C1210" s="15">
        <v>5.49</v>
      </c>
      <c r="D1210" s="13"/>
    </row>
    <row r="1211" spans="1:4" ht="18.75">
      <c r="A1211" s="8"/>
      <c r="B1211" s="16" t="s">
        <v>7</v>
      </c>
      <c r="C1211" s="17">
        <f>889.24+1523.45</f>
        <v>2412.69</v>
      </c>
      <c r="D1211" s="13"/>
    </row>
    <row r="1212" spans="1:4" ht="18">
      <c r="A1212" s="18">
        <v>1</v>
      </c>
      <c r="B1212" s="19" t="s">
        <v>8</v>
      </c>
      <c r="C1212" s="20">
        <f>12692.28+21775.32</f>
        <v>34467.6</v>
      </c>
      <c r="D1212" s="5"/>
    </row>
    <row r="1213" spans="1:4" ht="18">
      <c r="A1213" s="18">
        <v>2</v>
      </c>
      <c r="B1213" s="21" t="s">
        <v>9</v>
      </c>
      <c r="C1213" s="22">
        <f>(C1211+C1212)-C1215</f>
        <v>34428.47</v>
      </c>
      <c r="D1213" s="5"/>
    </row>
    <row r="1214" spans="1:4" ht="15">
      <c r="A1214" s="18">
        <v>3</v>
      </c>
      <c r="B1214" s="23" t="s">
        <v>10</v>
      </c>
      <c r="C1214" s="24"/>
      <c r="D1214" s="5"/>
    </row>
    <row r="1215" spans="1:4" ht="18.75">
      <c r="A1215" s="18"/>
      <c r="B1215" s="25" t="s">
        <v>11</v>
      </c>
      <c r="C1215" s="51">
        <f>902.83+1548.99</f>
        <v>2451.82</v>
      </c>
      <c r="D1215" s="5"/>
    </row>
    <row r="1216" spans="1:4" ht="15">
      <c r="A1216" s="26"/>
      <c r="B1216" s="27"/>
      <c r="C1216" s="28"/>
      <c r="D1216" s="5"/>
    </row>
    <row r="1217" spans="1:4" ht="15">
      <c r="A1217" s="26"/>
      <c r="B1217" s="27"/>
      <c r="C1217" s="28"/>
      <c r="D1217" s="5"/>
    </row>
    <row r="1218" spans="1:4" ht="31.5">
      <c r="A1218" s="18">
        <v>4</v>
      </c>
      <c r="B1218" s="29" t="s">
        <v>12</v>
      </c>
      <c r="C1218" s="56">
        <f>C1219+C1220+C1221+C1222+C1223+C1224</f>
        <v>19868.68</v>
      </c>
      <c r="D1218" s="5"/>
    </row>
    <row r="1219" spans="1:4" ht="39">
      <c r="A1219" s="31" t="s">
        <v>13</v>
      </c>
      <c r="B1219" s="32" t="s">
        <v>14</v>
      </c>
      <c r="C1219" s="33">
        <v>1389.08</v>
      </c>
      <c r="D1219" s="5"/>
    </row>
    <row r="1220" spans="1:4" ht="15.75">
      <c r="A1220" s="18" t="s">
        <v>67</v>
      </c>
      <c r="B1220" s="75" t="s">
        <v>351</v>
      </c>
      <c r="C1220" s="35">
        <v>496.62</v>
      </c>
      <c r="D1220" s="5"/>
    </row>
    <row r="1221" spans="1:4" ht="15.75">
      <c r="A1221" s="18" t="s">
        <v>15</v>
      </c>
      <c r="B1221" s="75" t="s">
        <v>69</v>
      </c>
      <c r="C1221" s="35">
        <v>23.36</v>
      </c>
      <c r="D1221" s="5"/>
    </row>
    <row r="1222" spans="1:4" ht="15.75">
      <c r="A1222" s="18" t="s">
        <v>18</v>
      </c>
      <c r="B1222" s="76" t="s">
        <v>352</v>
      </c>
      <c r="C1222" s="37">
        <f>1.5*230*12</f>
        <v>4140</v>
      </c>
      <c r="D1222" s="5"/>
    </row>
    <row r="1223" spans="1:4" ht="15.75">
      <c r="A1223" s="18" t="s">
        <v>178</v>
      </c>
      <c r="B1223" s="77" t="s">
        <v>71</v>
      </c>
      <c r="C1223" s="39">
        <f>C1212*0.15</f>
        <v>5170.139999999999</v>
      </c>
      <c r="D1223" s="5"/>
    </row>
    <row r="1224" spans="1:4" ht="15.75">
      <c r="A1224" s="8">
        <v>5</v>
      </c>
      <c r="B1224" s="75" t="s">
        <v>72</v>
      </c>
      <c r="C1224" s="35">
        <v>8649.48</v>
      </c>
      <c r="D1224" s="5"/>
    </row>
    <row r="1225" spans="1:4" ht="15.75">
      <c r="A1225" s="8"/>
      <c r="B1225" s="75"/>
      <c r="C1225" s="35"/>
      <c r="D1225" s="5"/>
    </row>
    <row r="1226" spans="1:3" ht="18">
      <c r="A1226" s="8"/>
      <c r="B1226" s="44" t="s">
        <v>75</v>
      </c>
      <c r="C1226" s="22">
        <v>-13444.53</v>
      </c>
    </row>
    <row r="1227" spans="1:4" ht="18">
      <c r="A1227" s="8"/>
      <c r="B1227" s="44" t="s">
        <v>292</v>
      </c>
      <c r="C1227" s="22">
        <f>C1213-C1218</f>
        <v>14559.79</v>
      </c>
      <c r="D1227" s="45"/>
    </row>
    <row r="1228" spans="1:3" ht="18.75">
      <c r="A1228" s="8"/>
      <c r="B1228" s="73" t="s">
        <v>76</v>
      </c>
      <c r="C1228" s="22">
        <f>SUM(C1226:C1227)</f>
        <v>1115.2600000000002</v>
      </c>
    </row>
    <row r="1229" ht="54" customHeight="1"/>
  </sheetData>
  <mergeCells count="132">
    <mergeCell ref="B1205:D1205"/>
    <mergeCell ref="B1204:D1204"/>
    <mergeCell ref="B1163:D1163"/>
    <mergeCell ref="B620:D620"/>
    <mergeCell ref="B621:C621"/>
    <mergeCell ref="B622:D622"/>
    <mergeCell ref="B623:D623"/>
    <mergeCell ref="B591:D591"/>
    <mergeCell ref="B592:C592"/>
    <mergeCell ref="B593:D593"/>
    <mergeCell ref="B594:D594"/>
    <mergeCell ref="B562:D562"/>
    <mergeCell ref="B563:C563"/>
    <mergeCell ref="B564:D564"/>
    <mergeCell ref="B565:D565"/>
    <mergeCell ref="B518:D518"/>
    <mergeCell ref="B519:C519"/>
    <mergeCell ref="B520:D520"/>
    <mergeCell ref="B521:D521"/>
    <mergeCell ref="B490:D490"/>
    <mergeCell ref="B491:C491"/>
    <mergeCell ref="B492:D492"/>
    <mergeCell ref="B493:D493"/>
    <mergeCell ref="B462:D462"/>
    <mergeCell ref="B463:C463"/>
    <mergeCell ref="B464:D464"/>
    <mergeCell ref="B465:D465"/>
    <mergeCell ref="B419:D419"/>
    <mergeCell ref="B420:C420"/>
    <mergeCell ref="B421:D421"/>
    <mergeCell ref="B422:D422"/>
    <mergeCell ref="B390:D390"/>
    <mergeCell ref="B391:C391"/>
    <mergeCell ref="B392:D392"/>
    <mergeCell ref="B393:D393"/>
    <mergeCell ref="B346:D346"/>
    <mergeCell ref="B347:C347"/>
    <mergeCell ref="B348:D348"/>
    <mergeCell ref="B349:D349"/>
    <mergeCell ref="B282:D282"/>
    <mergeCell ref="B283:C283"/>
    <mergeCell ref="B284:D284"/>
    <mergeCell ref="B285:D285"/>
    <mergeCell ref="B241:D241"/>
    <mergeCell ref="B242:C242"/>
    <mergeCell ref="B243:D243"/>
    <mergeCell ref="B244:D244"/>
    <mergeCell ref="B211:D211"/>
    <mergeCell ref="B212:C212"/>
    <mergeCell ref="B213:D213"/>
    <mergeCell ref="B214:D214"/>
    <mergeCell ref="B175:D175"/>
    <mergeCell ref="B176:C176"/>
    <mergeCell ref="B177:D177"/>
    <mergeCell ref="B178:D178"/>
    <mergeCell ref="B145:D145"/>
    <mergeCell ref="B146:C146"/>
    <mergeCell ref="B147:D147"/>
    <mergeCell ref="B148:D148"/>
    <mergeCell ref="B108:D108"/>
    <mergeCell ref="B109:C109"/>
    <mergeCell ref="B110:D110"/>
    <mergeCell ref="B111:D111"/>
    <mergeCell ref="B76:D76"/>
    <mergeCell ref="B77:C77"/>
    <mergeCell ref="B78:D78"/>
    <mergeCell ref="B79:D79"/>
    <mergeCell ref="B33:D33"/>
    <mergeCell ref="B34:C34"/>
    <mergeCell ref="B35:D35"/>
    <mergeCell ref="B36:D36"/>
    <mergeCell ref="B2:D2"/>
    <mergeCell ref="B3:C3"/>
    <mergeCell ref="B4:D4"/>
    <mergeCell ref="B5:D5"/>
    <mergeCell ref="B662:D662"/>
    <mergeCell ref="B663:C663"/>
    <mergeCell ref="B664:D664"/>
    <mergeCell ref="B665:D665"/>
    <mergeCell ref="B707:D707"/>
    <mergeCell ref="B708:C708"/>
    <mergeCell ref="B709:D709"/>
    <mergeCell ref="B710:D710"/>
    <mergeCell ref="B747:D747"/>
    <mergeCell ref="B748:C748"/>
    <mergeCell ref="B749:D749"/>
    <mergeCell ref="B750:D750"/>
    <mergeCell ref="B793:D793"/>
    <mergeCell ref="B794:C794"/>
    <mergeCell ref="B795:D795"/>
    <mergeCell ref="B796:D796"/>
    <mergeCell ref="B830:D830"/>
    <mergeCell ref="B831:C831"/>
    <mergeCell ref="B832:D832"/>
    <mergeCell ref="B833:D833"/>
    <mergeCell ref="B861:D861"/>
    <mergeCell ref="B862:C862"/>
    <mergeCell ref="B863:D863"/>
    <mergeCell ref="B864:D864"/>
    <mergeCell ref="B889:D889"/>
    <mergeCell ref="B890:C890"/>
    <mergeCell ref="B891:D891"/>
    <mergeCell ref="B892:D892"/>
    <mergeCell ref="B1013:D1013"/>
    <mergeCell ref="B918:D918"/>
    <mergeCell ref="B919:C919"/>
    <mergeCell ref="B920:D920"/>
    <mergeCell ref="B921:D921"/>
    <mergeCell ref="B1012:D1012"/>
    <mergeCell ref="B1010:D1010"/>
    <mergeCell ref="B1011:C1011"/>
    <mergeCell ref="B967:D967"/>
    <mergeCell ref="B1088:D1088"/>
    <mergeCell ref="B1089:D1089"/>
    <mergeCell ref="B1050:D1050"/>
    <mergeCell ref="B1051:C1051"/>
    <mergeCell ref="B1052:D1052"/>
    <mergeCell ref="B1053:D1053"/>
    <mergeCell ref="B1203:C1203"/>
    <mergeCell ref="B1164:C1164"/>
    <mergeCell ref="B1165:D1165"/>
    <mergeCell ref="B1166:D1166"/>
    <mergeCell ref="B964:D964"/>
    <mergeCell ref="B965:C965"/>
    <mergeCell ref="B966:D966"/>
    <mergeCell ref="B1202:D1202"/>
    <mergeCell ref="B1122:D1122"/>
    <mergeCell ref="B1123:C1123"/>
    <mergeCell ref="B1124:D1124"/>
    <mergeCell ref="B1125:D1125"/>
    <mergeCell ref="B1086:D1086"/>
    <mergeCell ref="B1087:C10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OEM User</cp:lastModifiedBy>
  <dcterms:created xsi:type="dcterms:W3CDTF">2012-04-13T11:51:24Z</dcterms:created>
  <dcterms:modified xsi:type="dcterms:W3CDTF">2013-10-22T12:13:06Z</dcterms:modified>
  <cp:category/>
  <cp:version/>
  <cp:contentType/>
  <cp:contentStatus/>
</cp:coreProperties>
</file>