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420" windowHeight="57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<sst xmlns="http://schemas.openxmlformats.org/spreadsheetml/2006/main" count="4725" uniqueCount="852">
  <si>
    <r>
      <t>март:</t>
    </r>
    <r>
      <rPr>
        <sz val="9"/>
        <rFont val="Arial"/>
        <family val="2"/>
      </rPr>
      <t xml:space="preserve"> Рем. пола во 1м и 2м подъездах 1эт. и 2эт.(снятие плинтусов,разборка пола,выравнив.лаг досками,настилка дощатых полов,уст-во люка в дер.полу.Снятие обрезков фанеры и ДВП с дерев.пола.)Рем. лестн.марша и междуэтаж.площ.во 2м подъезде.(Укрепл. старых ступеней,изготовл. ступеней,уст-во лесн.марша.Снятие плинтусов,разборка пола,выравнивание лаг досками,настилка полов новыми досками).Рем. балясин,укрепление поручня и балясин на лестнице.Рем. дверного полотна на 2м эт.Разборка чистого и черного пола.Кладка кирп.столбиков под половые балки.Уст-во черного и чистого пола с утеплением опилком.Изготовление и уст-ка дерев.коробов из досок для укрытия труб отопления.Погрузка и переноска кирпича в подъезд.</t>
    </r>
  </si>
  <si>
    <r>
      <t>май:</t>
    </r>
    <r>
      <rPr>
        <sz val="9"/>
        <rFont val="Arial"/>
        <family val="2"/>
      </rPr>
      <t xml:space="preserve"> Обслед. окон,сверл. отверстий в дерев.коробах для циркуляции воздуха у труб отопления(1эт.)</t>
    </r>
  </si>
  <si>
    <r>
      <t>июль:</t>
    </r>
    <r>
      <rPr>
        <sz val="9"/>
        <rFont val="Arial"/>
        <family val="2"/>
      </rPr>
      <t xml:space="preserve">  Укрепление дерев.короба, закрывающего трубы отопления,метал.уголками.</t>
    </r>
  </si>
  <si>
    <t xml:space="preserve">                                     водоснабжение,водоотведение</t>
  </si>
  <si>
    <t>ул.Гледенская, дом 59а</t>
  </si>
  <si>
    <t xml:space="preserve">                         Вывоз ТБО  (11чел *0,1м3 * 230руб *12мес.)</t>
  </si>
  <si>
    <r>
      <t xml:space="preserve">август: </t>
    </r>
    <r>
      <rPr>
        <sz val="9"/>
        <rFont val="Arial Cyr"/>
        <family val="0"/>
      </rPr>
      <t xml:space="preserve"> Выдан материал доска обр.50*150(0,27м3),гвозди 1кг.с доставкой на адрес.</t>
    </r>
  </si>
  <si>
    <r>
      <t xml:space="preserve">октябрь: </t>
    </r>
    <r>
      <rPr>
        <sz val="9"/>
        <rFont val="Arial Cyr"/>
        <family val="0"/>
      </rPr>
      <t>Обследование крыльца и провального короба.Ремонт стульчака(демонтаж старого и уст-ка нового стульчака).Ремонт крыльца(выравнивание по уровню,смена каркаса лестницы,смена ступеней с подступенками)</t>
    </r>
  </si>
  <si>
    <t>ул.Гледенская, дом 69</t>
  </si>
  <si>
    <t xml:space="preserve">                         Освещение мест общего пользования</t>
  </si>
  <si>
    <t xml:space="preserve">                         Вывоз ТБО  (17чел *0,1м3 * 230руб *12мес.)</t>
  </si>
  <si>
    <r>
      <t xml:space="preserve">                        ООО"Электротеплосеть"</t>
    </r>
    <r>
      <rPr>
        <sz val="11"/>
        <rFont val="Arial"/>
        <family val="2"/>
      </rPr>
      <t>Опломбирование электросчетчика.</t>
    </r>
  </si>
  <si>
    <r>
      <t>май:</t>
    </r>
    <r>
      <rPr>
        <sz val="9"/>
        <rFont val="Arial"/>
        <family val="2"/>
      </rPr>
      <t xml:space="preserve"> Кап.ремонт эл.проводки в местах общ.пользования.сч.ф.№169  ООО"РСО-ОКС"</t>
    </r>
  </si>
  <si>
    <t>ул. Дежнева, дом 1.</t>
  </si>
  <si>
    <r>
      <t xml:space="preserve">Тарифы:                      </t>
    </r>
    <r>
      <rPr>
        <sz val="9"/>
        <rFont val="Arial"/>
        <family val="2"/>
      </rPr>
      <t xml:space="preserve">содержание (по решению собств-ков тариф 2010г.с увел.15%) </t>
    </r>
  </si>
  <si>
    <t xml:space="preserve">                                       текущий ремонт (по решению собств-ков тариф 2010г.с увел.15%) </t>
  </si>
  <si>
    <t>Сумма задолженности за жилищно-коммун.услуги жильцов                      на 01.11. 2011г - всего</t>
  </si>
  <si>
    <t xml:space="preserve">        Профилактическая дератизация</t>
  </si>
  <si>
    <t xml:space="preserve">        Освещение мест общего пользования</t>
  </si>
  <si>
    <t xml:space="preserve">        Вывоз ТБО  (99чел *0,1м3 * 230руб *12мес.)</t>
  </si>
  <si>
    <t xml:space="preserve">        Содержание дворовй территории </t>
  </si>
  <si>
    <r>
      <t xml:space="preserve">           ООО"Вега": </t>
    </r>
    <r>
      <rPr>
        <sz val="9"/>
        <rFont val="Arial"/>
        <family val="2"/>
      </rPr>
      <t>Уст-ка доводчика №3 (морозостойкий) подъезд 1.Регулировка домофона</t>
    </r>
  </si>
  <si>
    <r>
      <t xml:space="preserve">          Обслуж.электрообор.  ООО СЭМ+  : апрель,октябрь,ноябрь.  </t>
    </r>
    <r>
      <rPr>
        <sz val="9"/>
        <rFont val="Arial"/>
        <family val="2"/>
      </rPr>
      <t>Регулировка запорного устр-ва.Рем.доводчика вход.двери.Ремонт замка домофона 3й подъезд.</t>
    </r>
  </si>
  <si>
    <t xml:space="preserve">         Расходы по управлению ЖКХ"Служба заказчика"</t>
  </si>
  <si>
    <t xml:space="preserve">        Текущий ремонт общего имущества:   всего</t>
  </si>
  <si>
    <t xml:space="preserve">Остаток денежных средств ( за минусом задолженности) на 01.01.2012г.             ( стр.2 - стр.5) </t>
  </si>
  <si>
    <t xml:space="preserve">Остаток денежных средств ( за минусом задолженности) на 01.01.2011г.      </t>
  </si>
  <si>
    <t>Сумма задолженности за жилищно-коммун.услуги жильцов                                на 31.12. 2011г - всего</t>
  </si>
  <si>
    <t>ул.Дежнева, дом  12.</t>
  </si>
  <si>
    <r>
      <t xml:space="preserve">                                  ООО "ЭТС"</t>
    </r>
    <r>
      <rPr>
        <sz val="9"/>
        <rFont val="Arial"/>
        <family val="2"/>
      </rPr>
      <t>Опломбирование электросчетчика.после замены.</t>
    </r>
  </si>
  <si>
    <r>
      <t xml:space="preserve">                         Содержание дворовой территории:</t>
    </r>
    <r>
      <rPr>
        <sz val="10"/>
        <rFont val="Arial"/>
        <family val="2"/>
      </rPr>
      <t xml:space="preserve"> Погрузка эксковатором и вывозка мусора дворового на машине Камаз.сч.ф.№711"АВС"</t>
    </r>
  </si>
  <si>
    <t>4.5.</t>
  </si>
  <si>
    <t xml:space="preserve">                         Вывоз ТБО  (15чел *0,1м3 * 230руб *12мес.)</t>
  </si>
  <si>
    <t>4.6.</t>
  </si>
  <si>
    <t>4.7.</t>
  </si>
  <si>
    <t xml:space="preserve">                         Текущий ремонт общего имущества - всего:</t>
  </si>
  <si>
    <r>
      <t>Остаток денежных средств (</t>
    </r>
    <r>
      <rPr>
        <sz val="12"/>
        <rFont val="Arial"/>
        <family val="2"/>
      </rPr>
      <t>за минусом задолженности)</t>
    </r>
    <r>
      <rPr>
        <b/>
        <sz val="14"/>
        <rFont val="Arial"/>
        <family val="2"/>
      </rPr>
      <t xml:space="preserve">  за 2011г</t>
    </r>
  </si>
  <si>
    <t>ул.Дежнева, дом  14.</t>
  </si>
  <si>
    <t xml:space="preserve">                          Освещение мест общего пользования</t>
  </si>
  <si>
    <t xml:space="preserve">                         Вывоз ТБО  (10чел *0,1м3 * 230руб *12мес.)</t>
  </si>
  <si>
    <t xml:space="preserve">                                                            в том числе:</t>
  </si>
  <si>
    <r>
      <t>февраль:</t>
    </r>
    <r>
      <rPr>
        <sz val="9"/>
        <rFont val="Arial"/>
        <family val="2"/>
      </rPr>
      <t xml:space="preserve"> Чистка дымовых и печных труб.</t>
    </r>
  </si>
  <si>
    <r>
      <t>март:</t>
    </r>
    <r>
      <rPr>
        <sz val="9"/>
        <rFont val="Arial"/>
        <family val="2"/>
      </rPr>
      <t xml:space="preserve">  Очистка от  снега и наледи кровли по фасаду и над эл.вводом с пристав.лестницы.</t>
    </r>
  </si>
  <si>
    <r>
      <t>август:</t>
    </r>
    <r>
      <rPr>
        <sz val="9"/>
        <rFont val="Arial"/>
        <family val="2"/>
      </rPr>
      <t xml:space="preserve"> Ремонт верхней части 2х выгреб.ям(замена боковых стен из бруса,нижней и верхней крышки с гидроизоляцией рубероидом и утеплением.)</t>
    </r>
  </si>
  <si>
    <r>
      <t xml:space="preserve">декабрь:  </t>
    </r>
    <r>
      <rPr>
        <sz val="9"/>
        <rFont val="Arial"/>
        <family val="2"/>
      </rPr>
      <t>Очистка кровли от снежного свеса по фасаду.</t>
    </r>
  </si>
  <si>
    <t>ул.Дежнева, дом 14а.</t>
  </si>
  <si>
    <r>
      <t xml:space="preserve">Общая площадь дома  </t>
    </r>
    <r>
      <rPr>
        <sz val="10"/>
        <rFont val="Arial"/>
        <family val="2"/>
      </rPr>
      <t>( 1вид благоустр-ва отопление)</t>
    </r>
  </si>
  <si>
    <t xml:space="preserve">                   Освещение мест общего пользования  </t>
  </si>
  <si>
    <t xml:space="preserve">                   Вывоз ТБО  (26чел *0,1м3 * 230руб *12мес.)</t>
  </si>
  <si>
    <t xml:space="preserve">                   Вывоз дворового мусора (тракторная телега) 1рейс</t>
  </si>
  <si>
    <t>в том числе:</t>
  </si>
  <si>
    <r>
      <t>май,июнь:</t>
    </r>
    <r>
      <rPr>
        <sz val="9"/>
        <rFont val="Arial"/>
        <family val="2"/>
      </rPr>
      <t xml:space="preserve"> Поднятие шифера на кровлю.Ремонт шиферной (6лист) кровли.</t>
    </r>
  </si>
  <si>
    <r>
      <t>октябрь:</t>
    </r>
    <r>
      <rPr>
        <sz val="9"/>
        <rFont val="Arial"/>
        <family val="2"/>
      </rPr>
      <t xml:space="preserve"> Обследование выгребной ямы кв.1 по заявлению,яма переполненна.</t>
    </r>
  </si>
  <si>
    <r>
      <t xml:space="preserve">Остаток денежных средств   за  2011г   </t>
    </r>
    <r>
      <rPr>
        <sz val="14"/>
        <rFont val="Arial"/>
        <family val="2"/>
      </rPr>
      <t>( стр.2 - стр.4 )</t>
    </r>
  </si>
  <si>
    <t>Всего ( за минусом задолженности) на 01.01.2012г.</t>
  </si>
  <si>
    <t>ул.Дежнева, дом  15.</t>
  </si>
  <si>
    <r>
      <t xml:space="preserve">                         ООО "ЭТС":</t>
    </r>
    <r>
      <rPr>
        <sz val="11"/>
        <rFont val="Arial"/>
        <family val="2"/>
      </rPr>
      <t>Опломбирование эл.счетчика.</t>
    </r>
  </si>
  <si>
    <r>
      <t xml:space="preserve">                         Содерж.двор.террит. </t>
    </r>
    <r>
      <rPr>
        <sz val="11"/>
        <rFont val="Arial"/>
        <family val="2"/>
      </rPr>
      <t>Вывоз двор. мусора (трактор. телега) 1рейс.</t>
    </r>
  </si>
  <si>
    <t>ул. Дежнева, дом 16а.</t>
  </si>
  <si>
    <r>
      <t xml:space="preserve">Тарифы:                      </t>
    </r>
    <r>
      <rPr>
        <sz val="9"/>
        <rFont val="Arial"/>
        <family val="2"/>
      </rPr>
      <t xml:space="preserve">содержание </t>
    </r>
  </si>
  <si>
    <t xml:space="preserve">                                       текущий ремонт </t>
  </si>
  <si>
    <t xml:space="preserve">        Вывоз ТБО  (25чел *0,1м3 * 230руб *12мес.)</t>
  </si>
  <si>
    <t xml:space="preserve">        ООО ЭТС":Опломбирование эл.счетчика после замены</t>
  </si>
  <si>
    <t>приборов учета воды всех квартир и норм.потребления где приборы учета не установлены за 2011г.</t>
  </si>
  <si>
    <t xml:space="preserve">           МУП "Водоканал" - предъявлено по цене( 20,80руб+38,07руб ) за        389м3</t>
  </si>
  <si>
    <t xml:space="preserve">           Начисленно за водоснабжение и водоотведение жильцам за 2011г      379м3</t>
  </si>
  <si>
    <t xml:space="preserve">           итого:                                        389м3 - 379м3 =  10м3</t>
  </si>
  <si>
    <t>ул.Дежнева, дом  17.</t>
  </si>
  <si>
    <t xml:space="preserve">                         Вывоз ТБО  (18чел *0,1м3 * 230руб *12мес.)</t>
  </si>
  <si>
    <r>
      <t xml:space="preserve">                        ООО"Вега": </t>
    </r>
    <r>
      <rPr>
        <sz val="11"/>
        <rFont val="Arial"/>
        <family val="2"/>
      </rPr>
      <t xml:space="preserve">Уст-ка метал.двери с доводч. №3 (морозостойкий). </t>
    </r>
  </si>
  <si>
    <t>ул.Дежнева, дом 19.</t>
  </si>
  <si>
    <t xml:space="preserve">                   Освещение мест общего пользования  469кВт</t>
  </si>
  <si>
    <t xml:space="preserve">                   Вывоз ТБО  (21чел *0,1м3 * 230руб *12мес.)</t>
  </si>
  <si>
    <t xml:space="preserve">                  Зам. эл.счетчика  на места общего пользования. по предписанию ООО"Электротеплосеть"</t>
  </si>
  <si>
    <r>
      <t xml:space="preserve">                 ООО "ЭТС": </t>
    </r>
    <r>
      <rPr>
        <sz val="11"/>
        <rFont val="Arial"/>
        <family val="2"/>
      </rPr>
      <t xml:space="preserve">Опломбирование эл.счетч. </t>
    </r>
  </si>
  <si>
    <r>
      <t xml:space="preserve">февраль: </t>
    </r>
    <r>
      <rPr>
        <sz val="9"/>
        <rFont val="Arial"/>
        <family val="2"/>
      </rPr>
      <t>Очистка снежного свеса с крыши по фасаду.</t>
    </r>
  </si>
  <si>
    <r>
      <t>апрель:</t>
    </r>
    <r>
      <rPr>
        <sz val="9"/>
        <rFont val="Arial"/>
        <family val="2"/>
      </rPr>
      <t xml:space="preserve"> Очистка кровли от снега.Укрепление пожарной лестницы.Ремонт шиф.кровли отд.местами.</t>
    </r>
  </si>
  <si>
    <r>
      <t>июль:</t>
    </r>
    <r>
      <rPr>
        <sz val="9"/>
        <rFont val="Arial"/>
        <family val="2"/>
      </rPr>
      <t xml:space="preserve"> Разборка стар. козырька и устр-во вновь с покрытием а/цемент.листами,подшивка потолка досками с масл.покраской дер.поверхностей.сч.ф.№243 ООО"РСО-ОКС"</t>
    </r>
  </si>
  <si>
    <r>
      <t>ноябрь:</t>
    </r>
    <r>
      <rPr>
        <sz val="9"/>
        <rFont val="Arial"/>
        <family val="2"/>
      </rPr>
      <t xml:space="preserve"> Очистка кровли от снежного свеса.</t>
    </r>
  </si>
  <si>
    <t>ул.Дежнева, дом 20.</t>
  </si>
  <si>
    <t xml:space="preserve">                   Вывоз ТБО  (19чел *0,1м3 * 230руб *12мес.)</t>
  </si>
  <si>
    <r>
      <t xml:space="preserve">                   ООО "ЭТС": </t>
    </r>
    <r>
      <rPr>
        <sz val="11"/>
        <rFont val="Arial"/>
        <family val="2"/>
      </rPr>
      <t xml:space="preserve">Опломбирование эл.счетчика. </t>
    </r>
  </si>
  <si>
    <t>ул.Дежнева, дом 25.</t>
  </si>
  <si>
    <t xml:space="preserve">         Освещение мест общего пользования  97кВт</t>
  </si>
  <si>
    <r>
      <t xml:space="preserve">        ООО " ЭТС "июнь</t>
    </r>
    <r>
      <rPr>
        <sz val="11"/>
        <rFont val="Arial"/>
        <family val="2"/>
      </rPr>
      <t>:опломбирование электросчетчика.сч.ф.№417</t>
    </r>
  </si>
  <si>
    <t xml:space="preserve">         Профилактическая дератизация</t>
  </si>
  <si>
    <t xml:space="preserve">         Вывоз ТБО  (22чел *0,1м3 * 230руб *12мес.)</t>
  </si>
  <si>
    <r>
      <t xml:space="preserve">        Содержание двор.террит.</t>
    </r>
    <r>
      <rPr>
        <sz val="11"/>
        <rFont val="Arial"/>
        <family val="2"/>
      </rPr>
      <t xml:space="preserve">Вывоз дворового мусора (тракторная телега) 1рейс </t>
    </r>
  </si>
  <si>
    <t xml:space="preserve">        Текущий ремонт общего имущества:</t>
  </si>
  <si>
    <t>пер.Застройщиков, дом  4.</t>
  </si>
  <si>
    <r>
      <t xml:space="preserve">                  Содержание двор.террит.</t>
    </r>
    <r>
      <rPr>
        <sz val="11"/>
        <rFont val="Arial"/>
        <family val="2"/>
      </rPr>
      <t xml:space="preserve">Вывоз двор. мусора (трактор. телега) 1рейс </t>
    </r>
  </si>
  <si>
    <t xml:space="preserve">                  Профилактическая дератизация</t>
  </si>
  <si>
    <t xml:space="preserve">                  Вывоз ТБО  (23чел *0,1м3 * 230руб *12мес.)</t>
  </si>
  <si>
    <t>ул.Кузнецова, дом 16.</t>
  </si>
  <si>
    <r>
      <t xml:space="preserve">                           ООО"ЭТС":</t>
    </r>
    <r>
      <rPr>
        <sz val="9"/>
        <rFont val="Arial"/>
        <family val="2"/>
      </rPr>
      <t xml:space="preserve"> Опломбирование эл.счетчика,постановка на учет</t>
    </r>
  </si>
  <si>
    <r>
      <t xml:space="preserve">                           МУП "Водоканал":</t>
    </r>
    <r>
      <rPr>
        <sz val="9"/>
        <rFont val="Arial"/>
        <family val="2"/>
      </rPr>
      <t xml:space="preserve"> Выход специалиста по принятию водомерного узла.</t>
    </r>
  </si>
  <si>
    <r>
      <t xml:space="preserve">                         ООО"Вега": </t>
    </r>
    <r>
      <rPr>
        <sz val="9"/>
        <rFont val="Arial"/>
        <family val="2"/>
      </rPr>
      <t>Уст-ка доводчика №3 (морозостойкий) подъезд 1.Регулировка доводчика подъезд 3.Ремонтные работы,петля с подшибниками п.2,3.</t>
    </r>
  </si>
  <si>
    <t xml:space="preserve">                    Вывоз ТБО  (121чел *0,1м3 * 230руб *12мес.)</t>
  </si>
  <si>
    <r>
      <t xml:space="preserve">                          В.Устюгс.МО  ВДПО:</t>
    </r>
    <r>
      <rPr>
        <sz val="9"/>
        <rFont val="Arial"/>
        <family val="2"/>
      </rPr>
      <t xml:space="preserve">проверка дымовых и вентиляц.каналов (всего 27 квартир) </t>
    </r>
  </si>
  <si>
    <r>
      <t>январь:</t>
    </r>
    <r>
      <rPr>
        <sz val="9"/>
        <rFont val="Arial"/>
        <family val="2"/>
      </rPr>
      <t xml:space="preserve"> Смена стекла в электрощитах 4подъезд.</t>
    </r>
  </si>
  <si>
    <r>
      <t>апрель:</t>
    </r>
    <r>
      <rPr>
        <sz val="9"/>
        <rFont val="Arial"/>
        <family val="2"/>
      </rPr>
      <t>Убор.кустарник.с придом.территор.Работа а/м КАМАЗ (6час) с утилиз.на свалку.</t>
    </r>
  </si>
  <si>
    <r>
      <t>май:</t>
    </r>
    <r>
      <rPr>
        <sz val="9"/>
        <rFont val="Arial"/>
        <family val="2"/>
      </rPr>
      <t xml:space="preserve"> Доставка торфа для придомовой территории (3маш.*3000руб).Уст-ка ограждающих колес с заливкой цемент.раствором.</t>
    </r>
  </si>
  <si>
    <t xml:space="preserve">           МУП "Водоканал" - предъявлено по цене( 20,80руб+38,07руб ) за        4122м3</t>
  </si>
  <si>
    <t xml:space="preserve">           Начисленно за водоснабжение и водоотведение жильцам за 2011г      3451,49м3</t>
  </si>
  <si>
    <t xml:space="preserve">           итого:                                        4122м3 - 3451,49м3 = 670,51м3</t>
  </si>
  <si>
    <t>ул.Нахимова, дом  6.</t>
  </si>
  <si>
    <t xml:space="preserve">                         Вывоз ТБО  (25чел *0,1м3 * 230руб *12мес.)</t>
  </si>
  <si>
    <t>ул. Нахимова, дом 19.</t>
  </si>
  <si>
    <t xml:space="preserve">                                                             водоотведение</t>
  </si>
  <si>
    <t xml:space="preserve">                    Вывоз ТБО  (12чел *0,1м3 * 230руб *12мес.)</t>
  </si>
  <si>
    <t>Остаток денежных средств (за минусом задолженности) на 01.01.2012г.       (стр.2 - стр.5)</t>
  </si>
  <si>
    <t>ул.Нахимова, дом  21.</t>
  </si>
  <si>
    <t>ул.Нахимова, дом  24.</t>
  </si>
  <si>
    <t>Задолженность жильцов на 01.01.2011г. - всего:</t>
  </si>
  <si>
    <t xml:space="preserve">содержание и ремонт </t>
  </si>
  <si>
    <t xml:space="preserve">капитальный ремонт </t>
  </si>
  <si>
    <t>Задолженность жильцов на 31.12.2011г:  - всего</t>
  </si>
  <si>
    <r>
      <t xml:space="preserve">                         ООО"ЭТС":</t>
    </r>
    <r>
      <rPr>
        <sz val="10"/>
        <rFont val="Arial"/>
        <family val="2"/>
      </rPr>
      <t xml:space="preserve"> Опломбирование эл.счетчика,постановка на учет</t>
    </r>
  </si>
  <si>
    <t>ул.Нахимова, дом  25.</t>
  </si>
  <si>
    <t>ул.Нахимова, дом  26.</t>
  </si>
  <si>
    <t>ул.Неводчикова, дом 47а.</t>
  </si>
  <si>
    <t xml:space="preserve">  в том числе:        содерж.и текущий ремонт</t>
  </si>
  <si>
    <t xml:space="preserve">                    Вывоз ТБО  (47чел *0,1м3 * 230руб *12мес.)</t>
  </si>
  <si>
    <r>
      <t xml:space="preserve">                           МУП "Водаканал":  </t>
    </r>
    <r>
      <rPr>
        <sz val="9"/>
        <rFont val="Arial"/>
        <family val="2"/>
      </rPr>
      <t>Услуги по принятию водомерного узла.</t>
    </r>
  </si>
  <si>
    <r>
      <t xml:space="preserve">                          ФБУЗ "Центр гигиены и эпидем".:</t>
    </r>
    <r>
      <rPr>
        <sz val="9"/>
        <rFont val="Arial"/>
        <family val="2"/>
      </rPr>
      <t xml:space="preserve"> Отбор проб для изследования показаний мутности и железа в воде.</t>
    </r>
  </si>
  <si>
    <r>
      <t xml:space="preserve">февраль: </t>
    </r>
    <r>
      <rPr>
        <sz val="9"/>
        <rFont val="Arial"/>
        <family val="2"/>
      </rPr>
      <t xml:space="preserve"> Очистка от снега и наледи кровли при помощи автовышки(1,1час -2472руб).</t>
    </r>
  </si>
  <si>
    <r>
      <t xml:space="preserve">март: </t>
    </r>
    <r>
      <rPr>
        <sz val="9"/>
        <rFont val="Arial"/>
        <family val="2"/>
      </rPr>
      <t>Чистка снежных свесов над подъездами с крыши при помощи а/вышки(1час-2087руб).</t>
    </r>
  </si>
  <si>
    <r>
      <t>август:</t>
    </r>
    <r>
      <rPr>
        <sz val="9"/>
        <rFont val="Arial"/>
        <family val="2"/>
      </rPr>
      <t xml:space="preserve">  Подготовка материала по размерам (перепиливание,острожка).Изготовление столешницы на столик.Перевозка и разгрузка материалов на детскую полощ.На покраску малых форм выдана краска.цв.4,3кг.</t>
    </r>
  </si>
  <si>
    <r>
      <t xml:space="preserve">октябрь:  </t>
    </r>
    <r>
      <rPr>
        <sz val="9"/>
        <rFont val="Arial"/>
        <family val="2"/>
      </rPr>
      <t>Уст-ка желез.двери в бойлер(5796,33руб).Монтаж бойлера,изготов.опоры под бойлер(212413,81руб).Замена канализац.труб (31п.м.) в подвале (9818,93руб).Подключение свароч.аппар.для рем.работ на бойлере. +368,72руб</t>
    </r>
  </si>
  <si>
    <r>
      <t>ноябрь:</t>
    </r>
    <r>
      <rPr>
        <sz val="9"/>
        <rFont val="Arial"/>
        <family val="2"/>
      </rPr>
      <t>Пристрож. оконных рам к фальцам коробки с закрепл.Зашивка подвал. окон ДВП.</t>
    </r>
  </si>
  <si>
    <t xml:space="preserve">           МУП "Водоканал" - предъявлено по цене( 20,80руб+38,07руб ) за       1712 м3</t>
  </si>
  <si>
    <t xml:space="preserve">           Начисленно за водоснабжение и водоотведение жильцам за 2011г      1658м3</t>
  </si>
  <si>
    <t xml:space="preserve">           итого:                                        1712м3 - 1658м3 = 54м3</t>
  </si>
  <si>
    <t>ул.Неводчикова, дом 63.</t>
  </si>
  <si>
    <t xml:space="preserve">                    Вывоз ТБО  (57чел *0,1м3 * 230руб *12мес.)</t>
  </si>
  <si>
    <r>
      <t xml:space="preserve">                          ООО "СЭМ+":</t>
    </r>
    <r>
      <rPr>
        <sz val="9"/>
        <rFont val="Arial"/>
        <family val="2"/>
      </rPr>
      <t xml:space="preserve"> Ремонт метал дверей,замка домофона,доводчик.</t>
    </r>
  </si>
  <si>
    <t>Муницип. доля по возмещению затрат на ремонт мест общ.пользования.</t>
  </si>
  <si>
    <t>Долги по допол.платежу  на 31.12.2011г. Кв.2(1880,73руб) и кв.25(2101,48руб)</t>
  </si>
  <si>
    <t>ул. Неводчикова, дом 67.</t>
  </si>
  <si>
    <t xml:space="preserve">        Вывоз ТБО  (69чел *0,1м3 * 230руб *12мес.)</t>
  </si>
  <si>
    <r>
      <t xml:space="preserve">          МО ВДПО:</t>
    </r>
    <r>
      <rPr>
        <sz val="9"/>
        <rFont val="Arial"/>
        <family val="2"/>
      </rPr>
      <t xml:space="preserve">проверка дымовых и вентиляц.каналов ( кв.22) </t>
    </r>
  </si>
  <si>
    <t>Задолженность по капремонту на 31.012.2011г.кв.14,16,20,23.</t>
  </si>
  <si>
    <t xml:space="preserve">           МУП "Водоканал" - предъявлено по цене( 20,80руб+38,07руб ) за        2219м3</t>
  </si>
  <si>
    <t xml:space="preserve">           итого:                                        2219м3 - 1904,37м3 =  314,63м3</t>
  </si>
  <si>
    <t>ул.Неводчикова, дом 69.</t>
  </si>
  <si>
    <r>
      <t>Тарифы:</t>
    </r>
    <r>
      <rPr>
        <sz val="10"/>
        <rFont val="Arial"/>
        <family val="2"/>
      </rPr>
      <t xml:space="preserve">содержание       ( приватизиров.квартиры тариф     4,64 руб за 1м2)         </t>
    </r>
  </si>
  <si>
    <t xml:space="preserve">              текущий ремонт  ( приватизиров.квартиры тариф   11,0 руб за 1м2)         </t>
  </si>
  <si>
    <t>Начисленно квартплаты за 2011год.:</t>
  </si>
  <si>
    <t xml:space="preserve">                в том числе:                содержание и текущий ремонт</t>
  </si>
  <si>
    <t xml:space="preserve">                                                          водоснабжение и водоотведение</t>
  </si>
  <si>
    <t xml:space="preserve">                          в том числе:          содерж.и текущий ремонт</t>
  </si>
  <si>
    <t>Вывоз ТБО  (66чел *0,1м3 * 230руб *12мес.)</t>
  </si>
  <si>
    <t>Текущий ремонт общего имущества -     всего:</t>
  </si>
  <si>
    <t xml:space="preserve">                                                    в том числе:</t>
  </si>
  <si>
    <r>
      <t>март:</t>
    </r>
    <r>
      <rPr>
        <sz val="9"/>
        <rFont val="Arial"/>
        <family val="2"/>
      </rPr>
      <t>Очист. от снега и наледи кровли с а/вышки(1час-2087руб).Очистка снеж.свесов над подъезд.</t>
    </r>
  </si>
  <si>
    <t>Чеканка стыка канализац.стояка в подвале.Замена участка трубы хол.водоснабж.в подвале.Обследование регулятора в подвале.Отключ.регулятора от эл.тока,перевод на ручной режим в подвале.</t>
  </si>
  <si>
    <r>
      <t xml:space="preserve">апрель,август:  </t>
    </r>
    <r>
      <rPr>
        <sz val="9"/>
        <rFont val="Arial"/>
        <family val="2"/>
      </rPr>
      <t>Уборка кирпича на крыше от упавшей вентиляц.шахты,складирование его на чердаке,частичная разборка вен.шахты.Обследов.вентшахты и перекладка её из силикат.кирпича в 2канала сверх крыши.Подъем кирпича и цем.раствора (приготов.) на крышу.</t>
    </r>
  </si>
  <si>
    <r>
      <t xml:space="preserve">август: </t>
    </r>
    <r>
      <rPr>
        <sz val="9"/>
        <rFont val="Arial"/>
        <family val="2"/>
      </rPr>
      <t>Чистка подвала от бытового мусора с утилизацией в контейнер и вывозкой машиной.</t>
    </r>
  </si>
  <si>
    <r>
      <t>сентябрь:</t>
    </r>
    <r>
      <rPr>
        <sz val="9"/>
        <rFont val="Arial"/>
        <family val="2"/>
      </rPr>
      <t xml:space="preserve"> Обслед.и замер стекла в 3х подъездах.</t>
    </r>
  </si>
  <si>
    <r>
      <t>октябрь:</t>
    </r>
    <r>
      <rPr>
        <sz val="9"/>
        <rFont val="Arial"/>
        <family val="2"/>
      </rPr>
      <t xml:space="preserve"> Заделка ям перед подъездами цементным раствором.</t>
    </r>
  </si>
  <si>
    <r>
      <t>ноябрь:</t>
    </r>
    <r>
      <rPr>
        <sz val="9"/>
        <rFont val="Arial"/>
        <family val="2"/>
      </rPr>
      <t xml:space="preserve"> Уст-ка метал.дверей (2шт).сч.ф.№20.ИП Корчажинский Н.Ю.</t>
    </r>
  </si>
  <si>
    <r>
      <t>декабрь:</t>
    </r>
    <r>
      <rPr>
        <sz val="9"/>
        <rFont val="Arial"/>
        <family val="2"/>
      </rPr>
      <t xml:space="preserve"> Обслед.и очистка кровли от снежного свеса над подъездами.Зашивка подвальных окон досками с заделкой щелей монтажной пеной.Ремонт дверных откосов после смены дверей.Масл.окраска стен под окном,в тамбуре и подъезде.Меловая окраска стен и потолка в тамбуре.Ремонт штукат.цоколя около дв.коробки снаружи.</t>
    </r>
  </si>
  <si>
    <t>Устр-ние аварии на системе отопления.Замена трубы (10п.м.) на вводе системы отопления.</t>
  </si>
  <si>
    <t>ул. Осипенко, дом  41</t>
  </si>
  <si>
    <r>
      <t xml:space="preserve">февраль:  </t>
    </r>
    <r>
      <rPr>
        <sz val="9"/>
        <rFont val="Arial"/>
        <family val="2"/>
      </rPr>
      <t>Расклеивание объявлений на чистку дымовых труб.</t>
    </r>
  </si>
  <si>
    <r>
      <t>март:</t>
    </r>
    <r>
      <rPr>
        <sz val="9"/>
        <rFont val="Arial"/>
        <family val="2"/>
      </rPr>
      <t xml:space="preserve"> Чистка дымовых труб,печей.</t>
    </r>
  </si>
  <si>
    <r>
      <t>ноябрь:</t>
    </r>
    <r>
      <rPr>
        <sz val="9"/>
        <rFont val="Arial"/>
        <family val="2"/>
      </rPr>
      <t>Обследование и ремонт кухон.очага и 3х голландских печей кв.9.</t>
    </r>
  </si>
  <si>
    <r>
      <t xml:space="preserve">Остаток денежных средств  за 2011г   </t>
    </r>
    <r>
      <rPr>
        <sz val="14"/>
        <rFont val="Arial"/>
        <family val="2"/>
      </rPr>
      <t>(</t>
    </r>
    <r>
      <rPr>
        <sz val="11"/>
        <rFont val="Arial"/>
        <family val="2"/>
      </rPr>
      <t>стр.2 - стр.4)</t>
    </r>
  </si>
  <si>
    <t>пер.Горьковчан, дом 2.</t>
  </si>
  <si>
    <t>Содержание дворовой территории:</t>
  </si>
  <si>
    <r>
      <t xml:space="preserve">апрель: </t>
    </r>
    <r>
      <rPr>
        <sz val="9"/>
        <rFont val="Arial"/>
        <family val="2"/>
      </rPr>
      <t>Уборка дворовой террит.от снега при помощи трактора МТЗ-82. ИП Пашинский М.В.</t>
    </r>
  </si>
  <si>
    <r>
      <t>май:</t>
    </r>
    <r>
      <rPr>
        <sz val="9"/>
        <rFont val="Arial"/>
        <family val="2"/>
      </rPr>
      <t>Вывоз дворового мусора (тракторная телега) 1рейс  ООО"АВС"</t>
    </r>
  </si>
  <si>
    <r>
      <t xml:space="preserve">январь: </t>
    </r>
    <r>
      <rPr>
        <sz val="9"/>
        <rFont val="Arial"/>
        <family val="2"/>
      </rPr>
      <t>Остекление и уст-ка створки в слуховое окно.Уст-ка скобяных изделий.</t>
    </r>
  </si>
  <si>
    <r>
      <t>сентябрь:</t>
    </r>
    <r>
      <rPr>
        <sz val="9"/>
        <rFont val="Arial"/>
        <family val="2"/>
      </rPr>
      <t xml:space="preserve"> Рем.метал.обделки вокруг дым.трубы из оцинк.стали(кв.4,11)Обслед.трубы и подъем цем.раствора на крышу.Шт-ка лицев.поверхности кух.очага.под потолком.Шт-ка поверх.дым.трубы под крышей кв.4,11.</t>
    </r>
  </si>
  <si>
    <r>
      <t>сентябрь:</t>
    </r>
    <r>
      <rPr>
        <sz val="9"/>
        <rFont val="Arial"/>
        <family val="2"/>
      </rPr>
      <t xml:space="preserve">  Смена окладных,рядовых венцов с конопаткой.Разборка дер.обшивки стен и вновь обшивка стен рейкой с покраской.Смена  отливной доски.Рем.шт-ки кирп.цоколя.</t>
    </r>
  </si>
  <si>
    <r>
      <t>октябрь:</t>
    </r>
    <r>
      <rPr>
        <sz val="9"/>
        <rFont val="Arial"/>
        <family val="2"/>
      </rPr>
      <t xml:space="preserve">  На ремонт печи выдан кирпич кв.11,погрузка - разгрузка кирпича,доставка.</t>
    </r>
  </si>
  <si>
    <t>пер.Горьковчан, дом 4.</t>
  </si>
  <si>
    <r>
      <t>апрель:</t>
    </r>
    <r>
      <rPr>
        <sz val="9"/>
        <rFont val="Arial"/>
        <family val="2"/>
      </rPr>
      <t>Убор.двор. террит.от снега при помощи тракт. МТЗ-82.сч.ф№.81 ИП Пашинский М.В.</t>
    </r>
  </si>
  <si>
    <r>
      <t>май:</t>
    </r>
    <r>
      <rPr>
        <sz val="9"/>
        <rFont val="Arial"/>
        <family val="2"/>
      </rPr>
      <t>Вывоз дворового мусора (тракторная телега) 1рейс сч.ф.№708 от 31.05.2011г ООО"АВС"</t>
    </r>
  </si>
  <si>
    <t xml:space="preserve">                    Вывоз ТБО  (19чел *0,1м3 * 230руб *12мес.)</t>
  </si>
  <si>
    <r>
      <t xml:space="preserve">                     ООО " Электроохрана"август: </t>
    </r>
    <r>
      <rPr>
        <sz val="10"/>
        <rFont val="Arial"/>
        <family val="2"/>
      </rPr>
      <t>Измерения сопротивления изоляции кабелей,проводов.сч.ф.№1294.</t>
    </r>
    <r>
      <rPr>
        <b/>
        <sz val="10"/>
        <rFont val="Arial"/>
        <family val="2"/>
      </rPr>
      <t xml:space="preserve"> </t>
    </r>
  </si>
  <si>
    <r>
      <t xml:space="preserve">                          ООО"Электротеплосеть"июнь:</t>
    </r>
    <r>
      <rPr>
        <sz val="10"/>
        <rFont val="Arial"/>
        <family val="2"/>
      </rPr>
      <t>опломбирование электросчетчика</t>
    </r>
  </si>
  <si>
    <r>
      <t>июнь:</t>
    </r>
    <r>
      <rPr>
        <sz val="9"/>
        <rFont val="Arial"/>
        <family val="2"/>
      </rPr>
      <t xml:space="preserve"> Капит.ремонт эл.проводки в местах общ.пользования.сч.ф.№242  ООО"РСО-ОКС"</t>
    </r>
  </si>
  <si>
    <r>
      <t>август:</t>
    </r>
    <r>
      <rPr>
        <sz val="9"/>
        <rFont val="Arial"/>
        <family val="2"/>
      </rPr>
      <t xml:space="preserve">  Засыпка выгребных ям ПГС 7машин по 1926руб</t>
    </r>
  </si>
  <si>
    <t>Остаток денежных средств ( с учетом задолженности) на 01.01.2012г.       (57348,23 - 99630,87)</t>
  </si>
  <si>
    <t>пер.Горьковчан, дом 7.</t>
  </si>
  <si>
    <t xml:space="preserve">                         Текущий ремонт общего имущества: всего</t>
  </si>
  <si>
    <t xml:space="preserve">                                                  в том числе:</t>
  </si>
  <si>
    <r>
      <t>июль:</t>
    </r>
    <r>
      <rPr>
        <sz val="9"/>
        <rFont val="Arial"/>
        <family val="2"/>
      </rPr>
      <t>Подъем кирпича и цем.раствора на крышу.Шту-рка поверхн.дым.труб сверх и под крышей.Рем. оголовка дым. трубы в 2 канала.Извес. окрашивание печных труб за 1раз.</t>
    </r>
  </si>
  <si>
    <r>
      <t>ноябрь:</t>
    </r>
    <r>
      <rPr>
        <sz val="9"/>
        <rFont val="Arial"/>
        <family val="2"/>
      </rPr>
      <t xml:space="preserve"> Смена окладных и рядовых венцов (80м.п.)Смена черепных брусков.Ремонт конопатки стен.Обшивка стен рейкой.Простая масл.окраска стен фасада.Ремонт и шту -рка кирпич.цоколя.Смена отливной доски.Устр-во обделок из оцинк.стали.</t>
    </r>
  </si>
  <si>
    <t>Остаток денежных средств (за минусом задолженности) на 01.01.2011г</t>
  </si>
  <si>
    <t>Остаток денежных средств (за минусом задолженности)  за 2011г                                    (стр.2 - стр.4)</t>
  </si>
  <si>
    <t>пер.Горьковчан, дом 9.</t>
  </si>
  <si>
    <t>Задолженность жильцов за жилищ.-коммунальные услуги на 01.01.2011г.</t>
  </si>
  <si>
    <t xml:space="preserve">                                             вывоз ТБО</t>
  </si>
  <si>
    <t xml:space="preserve">                                                              вывоз ТБО</t>
  </si>
  <si>
    <t>Профилактическая дератизация.</t>
  </si>
  <si>
    <r>
      <t>Содержание дворовой территории</t>
    </r>
    <r>
      <rPr>
        <sz val="10"/>
        <rFont val="Arial"/>
        <family val="2"/>
      </rPr>
      <t xml:space="preserve"> (вывоз двор.мусора тракт.телега,1рейс)</t>
    </r>
  </si>
  <si>
    <t>Вывоз ТБО  (29чел *0,1м3 * 230руб *5мес.)</t>
  </si>
  <si>
    <t xml:space="preserve"> СЭМ+  Аварийно-ремонтные электромон. работы.сч.ф.№98 .</t>
  </si>
  <si>
    <t>Остаток денежных средств на  31.12. 2011г</t>
  </si>
  <si>
    <t>Остаток денежных средств  на 01.01.2011г</t>
  </si>
  <si>
    <t xml:space="preserve">                                  Всего за минусом должников</t>
  </si>
  <si>
    <t xml:space="preserve">                                     вывоз ТБО</t>
  </si>
  <si>
    <t>пер.Горьковчан, дом 12.</t>
  </si>
  <si>
    <t>Задолженность жильцов(содержание и тек.ремонт) на 01.01.2011г.</t>
  </si>
  <si>
    <t>Поступило денежных средств от жильцов (текущ.рем.и содерж.)</t>
  </si>
  <si>
    <t>допол.платеж (рем.кровли)  на 31.12.2011г.</t>
  </si>
  <si>
    <t>Остаток денежных средств (за минусом задолженности)  за 2011г                                    (стр.2- стр.3.2.-стр.5)</t>
  </si>
  <si>
    <t>пер. Лесников, дом 2.</t>
  </si>
  <si>
    <t>Профилактическая дератизация  (271м2 * 0,14руб)</t>
  </si>
  <si>
    <r>
      <t>июль:</t>
    </r>
    <r>
      <rPr>
        <sz val="9"/>
        <rFont val="Arial"/>
        <family val="2"/>
      </rPr>
      <t xml:space="preserve"> Рем.козырьков над вход. в подъезды.Разбор.шифера и смена обрешетки.Подшивка потолка рейкой.Покраска козырька маслян.краской.Покрытие односкат. козырьков оцинк.желез.(9,4м2),снятие и правка железа и уст-ка желобов над подъезд.</t>
    </r>
  </si>
  <si>
    <r>
      <t>сентябрь:</t>
    </r>
    <r>
      <rPr>
        <sz val="9"/>
        <rFont val="Arial"/>
        <family val="2"/>
      </rPr>
      <t xml:space="preserve"> Покраска полов и лестничных ограждений в 2х подъездах.сч.ф.№336 "РСО-ОКС"</t>
    </r>
  </si>
  <si>
    <t>Уст-ка датчиков движения(4шт - 1223руб)(по реш.собрания).Регулиров. датчиков движения.</t>
  </si>
  <si>
    <r>
      <t xml:space="preserve">октябрь: </t>
    </r>
    <r>
      <rPr>
        <sz val="9"/>
        <rFont val="Arial"/>
        <family val="2"/>
      </rPr>
      <t>Для смены провальной трубы выдан материал кв.6.,погрузка - разгрузка и доставка материала на адрес.</t>
    </r>
  </si>
  <si>
    <t>Остаток денежных средств (стр.2 - стр.5) на  31.12. 2011г</t>
  </si>
  <si>
    <t xml:space="preserve">                                  Всего за минусом должников на 01.01.2012г</t>
  </si>
  <si>
    <t>пер. Лесников, дом 4.</t>
  </si>
  <si>
    <r>
      <t>ООО "Вега":</t>
    </r>
    <r>
      <rPr>
        <sz val="9"/>
        <rFont val="Arial"/>
        <family val="2"/>
      </rPr>
      <t xml:space="preserve">  Уст-ка металлич.двери с домофоном и доводчиком. </t>
    </r>
  </si>
  <si>
    <r>
      <t xml:space="preserve">ООО "ЭТС": </t>
    </r>
    <r>
      <rPr>
        <sz val="9"/>
        <rFont val="Arial"/>
        <family val="2"/>
      </rPr>
      <t>Опломбирование эл.счетчика после замены.</t>
    </r>
  </si>
  <si>
    <t>ул.Лесников, дом 12</t>
  </si>
  <si>
    <t xml:space="preserve">                         ООО "Вега": Уст-ка металлич.двери с доводчиком.</t>
  </si>
  <si>
    <r>
      <t>Остаток денежных средств  за 2011г</t>
    </r>
    <r>
      <rPr>
        <sz val="14"/>
        <rFont val="Arial"/>
        <family val="2"/>
      </rPr>
      <t xml:space="preserve">  (стр.2 - стр.4)</t>
    </r>
  </si>
  <si>
    <t>пер. Лесников, дом 13б.</t>
  </si>
  <si>
    <t xml:space="preserve">Профилактическая дератизация  </t>
  </si>
  <si>
    <t>Вывоз ТБО  (1чел *0,1м3 * 230руб *12мес.)</t>
  </si>
  <si>
    <t>ул.Лесников, дом 14</t>
  </si>
  <si>
    <t xml:space="preserve">                           Освещение мест общего пользования  209 кВт</t>
  </si>
  <si>
    <t>пер.Товарищеский, дом 7.</t>
  </si>
  <si>
    <t>Вывоз ТБО  (11чел *0,1м3 * 230руб *12мес.)</t>
  </si>
  <si>
    <r>
      <t>ООО "ЭТС":</t>
    </r>
    <r>
      <rPr>
        <sz val="9"/>
        <rFont val="Arial"/>
        <family val="2"/>
      </rPr>
      <t xml:space="preserve"> Опломбирование электросчетчика.сч.ф.№587</t>
    </r>
  </si>
  <si>
    <r>
      <t xml:space="preserve">ООО "Электроохрана": </t>
    </r>
    <r>
      <rPr>
        <sz val="9"/>
        <rFont val="Arial"/>
        <family val="2"/>
      </rPr>
      <t>Измерения сопротивления изоляции кабелей,проводов.</t>
    </r>
  </si>
  <si>
    <t>пер.Чехова, дом 51</t>
  </si>
  <si>
    <t>Задолженность жильцов(текущ.рем.и содержание) на 01.01.2011г.</t>
  </si>
  <si>
    <t>Доп.платеж на рем. южного ската кровли с 01.11.2010г. по 31.10.2011г.</t>
  </si>
  <si>
    <r>
      <t>Поступило денежных средств от жильцов</t>
    </r>
    <r>
      <rPr>
        <b/>
        <sz val="11"/>
        <rFont val="Arial"/>
        <family val="2"/>
      </rPr>
      <t xml:space="preserve"> ( с дополн.платеж.)</t>
    </r>
  </si>
  <si>
    <t>Долги по дополн.платежу.на 31.12.2011г.</t>
  </si>
  <si>
    <t>пер. Чехова, дом 55</t>
  </si>
  <si>
    <t>Задолженность по капрем.кровли  на 31.12.2011г.</t>
  </si>
  <si>
    <t xml:space="preserve">                          Освещение мест общего пользования  209 кВт</t>
  </si>
  <si>
    <t>ул. Пионерская, дом 18.</t>
  </si>
  <si>
    <t xml:space="preserve">                                                  доп.платеж на ремонт кровли</t>
  </si>
  <si>
    <t xml:space="preserve">                    Вывоз ТБО  (24чел *0,1м3 * 230руб *12мес.)</t>
  </si>
  <si>
    <r>
      <t xml:space="preserve">                           ООО "АВС":</t>
    </r>
    <r>
      <rPr>
        <sz val="9"/>
        <rFont val="Arial"/>
        <family val="2"/>
      </rPr>
      <t xml:space="preserve"> Вывоз крупногабарит.мусора на тракторе.</t>
    </r>
  </si>
  <si>
    <t>Муниципальная доля по возмещению затрат на рем.кровли</t>
  </si>
  <si>
    <t>Долг по доп.платежу на капрем.кровли кв.2,кв.6.</t>
  </si>
  <si>
    <t xml:space="preserve">           МУП "Водоканал" - предъявлено по цене( 20,80руб ) за        123м3</t>
  </si>
  <si>
    <t xml:space="preserve">           Начисленно за водоснабжение и водоотведение жильцам за 2011г      25м3</t>
  </si>
  <si>
    <t xml:space="preserve">           итого:                                        123м3 - 25м3 =  98м3</t>
  </si>
  <si>
    <t>пл.Комсомольская, дом 8.</t>
  </si>
  <si>
    <t>Вывоз ТБО  (9чел *0,1м3 * 230руб *12мес.)</t>
  </si>
  <si>
    <t xml:space="preserve">                               в том числе:</t>
  </si>
  <si>
    <r>
      <t>март:</t>
    </r>
    <r>
      <rPr>
        <sz val="9"/>
        <rFont val="Arial"/>
        <family val="2"/>
      </rPr>
      <t xml:space="preserve"> Очистка снежных свесов с крыши по фасаду.</t>
    </r>
  </si>
  <si>
    <r>
      <t>ноябрь:</t>
    </r>
    <r>
      <rPr>
        <sz val="9"/>
        <rFont val="Arial"/>
        <family val="2"/>
      </rPr>
      <t xml:space="preserve"> Ремонт оконной рамы,замена стекол,уст-ка ручки на входную дверь на 2м этаже.</t>
    </r>
  </si>
  <si>
    <t>ул.Победы, дом  7.</t>
  </si>
  <si>
    <r>
      <t xml:space="preserve">                         ООО "ЭТС"</t>
    </r>
    <r>
      <rPr>
        <sz val="11"/>
        <rFont val="Arial"/>
        <family val="2"/>
      </rPr>
      <t>Опломбирование эл.счетч.после замены.</t>
    </r>
  </si>
  <si>
    <t xml:space="preserve">                         Вывоз ТБО  (33чел *0,1м3 * 230руб *12мес.)</t>
  </si>
  <si>
    <t>ул.Победы, дом  8.</t>
  </si>
  <si>
    <t xml:space="preserve">                         Вывоз дворового мусора (тракторная телега) 1рейс</t>
  </si>
  <si>
    <t>ул.П.Покровского, дом  20.</t>
  </si>
  <si>
    <t xml:space="preserve">                         Вывоз ТБО  (4чел *0,1м3 * 230руб *12мес.)</t>
  </si>
  <si>
    <r>
      <t>Остаток денежных средств на 01.01.2011г</t>
    </r>
    <r>
      <rPr>
        <sz val="11"/>
        <rFont val="Arial"/>
        <family val="2"/>
      </rPr>
      <t xml:space="preserve"> (стр.2-стр.4)</t>
    </r>
  </si>
  <si>
    <t>ул..Ф.Попова, дом 7.</t>
  </si>
  <si>
    <r>
      <t>июнь:</t>
    </r>
    <r>
      <rPr>
        <sz val="9"/>
        <rFont val="Arial"/>
        <family val="2"/>
      </rPr>
      <t xml:space="preserve"> Смена верх.крышки в/ямы 0,8м2 и крышки люка 0,41м2.Снятие и обшивка железом б/у.Уст-ка вешала(метал.вешала - 2628руб) для хлопания ковров,маслянная покраска досок.</t>
    </r>
  </si>
  <si>
    <r>
      <t>июль:</t>
    </r>
    <r>
      <rPr>
        <sz val="9"/>
        <rFont val="Arial"/>
        <family val="2"/>
      </rPr>
      <t xml:space="preserve"> Изготовление дерев.столешницы на железный каркас с уст-кой во дворе дома.</t>
    </r>
  </si>
  <si>
    <r>
      <t>ноябрь:</t>
    </r>
    <r>
      <rPr>
        <sz val="9"/>
        <rFont val="Arial"/>
        <family val="2"/>
      </rPr>
      <t xml:space="preserve"> Обследование и ремонт кухон.очага кв.2</t>
    </r>
  </si>
  <si>
    <t>Разница по воде за 2009г и 2010г (2585,98+554,56) по решению собрания собственников от 09.06.2011г</t>
  </si>
  <si>
    <t>ул. Ф.Попова, дом  9</t>
  </si>
  <si>
    <t xml:space="preserve">                           Освещение мест общего пользования  814кВт</t>
  </si>
  <si>
    <t xml:space="preserve">                         Вывоз ТБО  (28чел *0,1м3 * 230руб *12мес.)</t>
  </si>
  <si>
    <r>
      <t>февраль:</t>
    </r>
    <r>
      <rPr>
        <sz val="10"/>
        <rFont val="Arial"/>
        <family val="2"/>
      </rPr>
      <t xml:space="preserve"> Чистка дымовых и печных труб.</t>
    </r>
  </si>
  <si>
    <r>
      <t>июль:</t>
    </r>
    <r>
      <rPr>
        <sz val="10"/>
        <rFont val="Arial"/>
        <family val="2"/>
      </rPr>
      <t xml:space="preserve"> Ремонт кухонной печи( кв.11)</t>
    </r>
  </si>
  <si>
    <t>ул. Пушкина, дом 5</t>
  </si>
  <si>
    <t xml:space="preserve">                           Освещение мест общего пользования  147кВт</t>
  </si>
  <si>
    <t xml:space="preserve">                         Вывоз ТБО  (12чел *0,1м3 * 230руб *12мес.)</t>
  </si>
  <si>
    <t>ул. Рабочая, дом 50</t>
  </si>
  <si>
    <t xml:space="preserve">                           Освещение мест общего пользования  287кВт</t>
  </si>
  <si>
    <r>
      <t xml:space="preserve">                          Содержание дворовой территории </t>
    </r>
    <r>
      <rPr>
        <sz val="8"/>
        <rFont val="Arial"/>
        <family val="2"/>
      </rPr>
      <t>зимняя уборка (с 1.11 по 31.04)</t>
    </r>
  </si>
  <si>
    <t>ул. РМЗ  3й пр., дом 5.</t>
  </si>
  <si>
    <t>с 01.03.2011 по 31.12.2011 год</t>
  </si>
  <si>
    <t xml:space="preserve">                         Вывоз ТБО  (3чел *0,1м3 * 230руб *10мес.)</t>
  </si>
  <si>
    <t>ул. РМЗ  3й пр., дом 6.</t>
  </si>
  <si>
    <t xml:space="preserve">                         Вывоз ТБО  (7чел *0,1м3 * 230руб *10мес.)</t>
  </si>
  <si>
    <t>ул. Садовая, дом 1.</t>
  </si>
  <si>
    <t xml:space="preserve">                           Освещение мест общего пользования  850кВт</t>
  </si>
  <si>
    <t>ул. Садовая, дом 7.</t>
  </si>
  <si>
    <t xml:space="preserve">                           Освещение мест общего пользования  1546кВт</t>
  </si>
  <si>
    <t>ул.Сахарова, дом  15.</t>
  </si>
  <si>
    <t>Содержание дворовой территории.</t>
  </si>
  <si>
    <t>Вывоз ТБО  (79чел *0,1м3 * 230руб *12мес.)</t>
  </si>
  <si>
    <t>ООО"Вега":</t>
  </si>
  <si>
    <r>
      <t xml:space="preserve">январь: </t>
    </r>
    <r>
      <rPr>
        <sz val="9"/>
        <rFont val="Arial"/>
        <family val="2"/>
      </rPr>
      <t>Уст-ка доводчика №3 (морозостойкий) подъезд 1. сч.ф.№14</t>
    </r>
  </si>
  <si>
    <r>
      <t>апрель:</t>
    </r>
    <r>
      <rPr>
        <sz val="9"/>
        <rFont val="Arial"/>
        <family val="2"/>
      </rPr>
      <t xml:space="preserve">Восстанов. домофон. связи с зам-ой трубки абонен. перегов-ой.  подъезд 2.кв.31 </t>
    </r>
  </si>
  <si>
    <r>
      <t xml:space="preserve">В.Устюгское МО  ВДПО:  </t>
    </r>
    <r>
      <rPr>
        <sz val="9"/>
        <rFont val="Arial"/>
        <family val="2"/>
      </rPr>
      <t xml:space="preserve">проверка дымовых и вентиляц.каналов (всего 13 квартир) </t>
    </r>
  </si>
  <si>
    <r>
      <t>"Центр гигиены и эпидемиолог.":</t>
    </r>
    <r>
      <rPr>
        <sz val="9"/>
        <rFont val="Arial"/>
        <family val="2"/>
      </rPr>
      <t xml:space="preserve"> Отбор проб для изследования показаний мутности и железа в воде.</t>
    </r>
  </si>
  <si>
    <t xml:space="preserve">           МУП "Водоканал" - предъявлено по цене( 20,80руб+38,07руб ) за        2724м3</t>
  </si>
  <si>
    <t xml:space="preserve">           Начисленно за водоснабжение и водоотведение жильцам за 2011г      2547,8м3</t>
  </si>
  <si>
    <t xml:space="preserve">           итого:                                        2724м3 - 2547,8м3 =  176,2м3</t>
  </si>
  <si>
    <t>ул. Сахарова, дом 17.</t>
  </si>
  <si>
    <t xml:space="preserve">                  текущий ремонт (с апреля по решению собствен. 14,16руб)</t>
  </si>
  <si>
    <t xml:space="preserve">                                          Вывоз отходов</t>
  </si>
  <si>
    <t xml:space="preserve">                                           Вывоз ТБО  ООО"РСО-ОКС"</t>
  </si>
  <si>
    <t xml:space="preserve">                    Вывоз ТБО  (77чел *0,1м3 * 230руб *3мес.)</t>
  </si>
  <si>
    <t xml:space="preserve">                    Содержание дворовй территории </t>
  </si>
  <si>
    <r>
      <t xml:space="preserve">                          апрель: </t>
    </r>
    <r>
      <rPr>
        <sz val="9"/>
        <rFont val="Arial"/>
        <family val="2"/>
      </rPr>
      <t>Уборка мусора с придомовой территории.Работа а/машины КАМАЗ - 1,5час-1284руб.,эксковатор 1,25час- 1043,25руб)</t>
    </r>
  </si>
  <si>
    <t>Разница по воде за 2010г сумму 10146,51руб. по решению собрания собственников от 05.04.2011г сминусовать с тарифа содержания дома.</t>
  </si>
  <si>
    <t xml:space="preserve">Остаток денежных средств ( за минусом задолженности) на 01.01.2012г.       ( стр.2 - стр.5) </t>
  </si>
  <si>
    <t xml:space="preserve">           МУП "Водоканал" - предъявлено по цене( 20,80руб+38,07руб ) за        2593м3</t>
  </si>
  <si>
    <t xml:space="preserve">           Начисленно за водоснабжение и водоотведение жильцам за 2011г      2298м3</t>
  </si>
  <si>
    <t xml:space="preserve">           итого:                                        2593м3 - 2298м3 =  295м3</t>
  </si>
  <si>
    <t>ул.Сахарова, дом  23.</t>
  </si>
  <si>
    <t>Вывоз ТБО  (13чел *0,1м3 * 230руб *12мес.)</t>
  </si>
  <si>
    <r>
      <t>МУП "Водоканал":</t>
    </r>
    <r>
      <rPr>
        <sz val="9"/>
        <rFont val="Arial"/>
        <family val="2"/>
      </rPr>
      <t xml:space="preserve"> Выход специалиста по принятию водомер.узла. </t>
    </r>
  </si>
  <si>
    <t xml:space="preserve">           МУП "Водоканал" - предъявлено по цене( 20,80руб+38,07руб ) за        234м3</t>
  </si>
  <si>
    <t xml:space="preserve">           Начисленно за водоснабжение и водоотведение жильцам за 2011г      217м3</t>
  </si>
  <si>
    <t xml:space="preserve">           итого:                                        234м3 - 217м3 =  17м3</t>
  </si>
  <si>
    <t>пр.Советский, дом 8б.</t>
  </si>
  <si>
    <t xml:space="preserve">  в том числе:       содерж.и текущий ремонт</t>
  </si>
  <si>
    <t xml:space="preserve">  в том числе:                МУП"Водоканал"                              </t>
  </si>
  <si>
    <t xml:space="preserve"> в том числе: Диспетчерское обслуживание,бслуживание  внутридомовых инженерных сетей,ликвидация аварий на  сетях и оборудовании.</t>
  </si>
  <si>
    <t xml:space="preserve">                           Профилактическая дератизация</t>
  </si>
  <si>
    <r>
      <t xml:space="preserve">                          Содержание дворовой территории </t>
    </r>
    <r>
      <rPr>
        <sz val="10"/>
        <rFont val="Arial"/>
        <family val="2"/>
      </rPr>
      <t>зимняя уборка (с 1.11 по 31.04)</t>
    </r>
  </si>
  <si>
    <t xml:space="preserve">                          Освещение мест общего пользования    13618кВт</t>
  </si>
  <si>
    <t xml:space="preserve">                         Вывоз ТБО  (54чел *0,1м3 * 230руб *12мес.)</t>
  </si>
  <si>
    <t xml:space="preserve">                          Расходы по управлению ЖКХ"Служба заказчика"</t>
  </si>
  <si>
    <t>19.</t>
  </si>
  <si>
    <t xml:space="preserve">                         Текущий ремонт общего имущества:   всего</t>
  </si>
  <si>
    <t xml:space="preserve">           МУП "Водоканал" - предъявлено по цене( 20,80руб+38,07руб ) за       1951 м3</t>
  </si>
  <si>
    <t xml:space="preserve">           Начисленно за водоснабжение и водоотведение жильцам за 2011г      1915м3</t>
  </si>
  <si>
    <t xml:space="preserve">           итого:                                        1951м3 - 1915м3 = 36м3</t>
  </si>
  <si>
    <t>ул.Советский, дом 56.</t>
  </si>
  <si>
    <r>
      <t xml:space="preserve">                            МУП "Водоканал":</t>
    </r>
    <r>
      <rPr>
        <sz val="9"/>
        <rFont val="Arial"/>
        <family val="2"/>
      </rPr>
      <t>Промывка канализационной сети.</t>
    </r>
  </si>
  <si>
    <t xml:space="preserve">                    Вывоз ТБО  (21чел *0,1м3 * 230руб *12мес.)</t>
  </si>
  <si>
    <t xml:space="preserve">задолженность по капрем.кровли за 2009г.  Кв.8(Езовских Л.В.) </t>
  </si>
  <si>
    <t xml:space="preserve">           МУП "Водоканал" - предъявлено по цене( 20,80руб+38,07руб ) за       2075 м3</t>
  </si>
  <si>
    <t xml:space="preserve">           Начисленно за водоснабжение и водоотведение жильцам за 2011г      2227,14м3</t>
  </si>
  <si>
    <t xml:space="preserve">           итого:                                        2075м3 - 2227,14м3 = -152,14м3</t>
  </si>
  <si>
    <t>ул.Советский, дом 75.</t>
  </si>
  <si>
    <t xml:space="preserve">                    Вывоз ТБО  (10чел *0,1м3 * 230руб *12мес.)</t>
  </si>
  <si>
    <t>ул.Советский, дом 83.</t>
  </si>
  <si>
    <t xml:space="preserve">                    Вывоз ТБО  (3чел *0,1м3 * 230руб *12мес.)</t>
  </si>
  <si>
    <t xml:space="preserve">           МУП "Водоканал" - предъявлено по цене( 20,80руб+38,07руб ) за        198м3</t>
  </si>
  <si>
    <t xml:space="preserve">           Начисленно за водоснабжение и водоотведение жильцам за 2011г      147м3</t>
  </si>
  <si>
    <t xml:space="preserve">           итого:                                        198м3 - 147м3 =  51м3</t>
  </si>
  <si>
    <t>ул.Советский, дом 253.</t>
  </si>
  <si>
    <t xml:space="preserve">                                          водоснабжение </t>
  </si>
  <si>
    <t xml:space="preserve">  в том числе:                    содерж.и текущий ремонт</t>
  </si>
  <si>
    <t xml:space="preserve">                                                водоснабжение </t>
  </si>
  <si>
    <t xml:space="preserve">                    Вывоз ТБО  (7чел *0,1м3 * 230руб *12мес.)</t>
  </si>
  <si>
    <t xml:space="preserve">           МУП "Водоканал" - предъявлено по цене( 20,80руб+38,07руб ) за        128м3</t>
  </si>
  <si>
    <t xml:space="preserve">           Начисленно за водоснабжение и водоотведение жильцам за 2011г      124,7м3</t>
  </si>
  <si>
    <t xml:space="preserve">           итого:                                        128м3 - 124,7м3 =  3,3м3</t>
  </si>
  <si>
    <t>ул.Советский, дом 91.</t>
  </si>
  <si>
    <t>с 01.04.2011г по 31.12.2011г.</t>
  </si>
  <si>
    <t xml:space="preserve">  в том числе:                         содержание и текущий ремонт</t>
  </si>
  <si>
    <t xml:space="preserve">                   Содержание дворовой территории: </t>
  </si>
  <si>
    <r>
      <t xml:space="preserve">                         ООО"АВС"     </t>
    </r>
    <r>
      <rPr>
        <sz val="9"/>
        <rFont val="Arial"/>
        <family val="2"/>
      </rPr>
      <t>Вывоз дворового мусора (тракторная телега) 1рейс.</t>
    </r>
  </si>
  <si>
    <r>
      <t xml:space="preserve">                           июль:</t>
    </r>
    <r>
      <rPr>
        <sz val="9"/>
        <rFont val="Arial"/>
        <family val="2"/>
      </rPr>
      <t xml:space="preserve"> Окашивание травы на придомовой территории.</t>
    </r>
    <r>
      <rPr>
        <b/>
        <sz val="9"/>
        <rFont val="Arial"/>
        <family val="2"/>
      </rPr>
      <t xml:space="preserve"> </t>
    </r>
  </si>
  <si>
    <r>
      <t xml:space="preserve">                         МУП "Водоканал":  </t>
    </r>
    <r>
      <rPr>
        <sz val="9"/>
        <rFont val="Arial"/>
        <family val="2"/>
      </rPr>
      <t>Выход специалиста по принятию водомерного узла.</t>
    </r>
  </si>
  <si>
    <t xml:space="preserve">                    Вывоз ТБО  (11чел *0,1м3 * 230руб *9мес.)</t>
  </si>
  <si>
    <t xml:space="preserve">           МУП "Водоканал" - предъявлено по цене( 20,80руб+38,07руб ) за        344м3</t>
  </si>
  <si>
    <t xml:space="preserve">           Начисленно за водоснабжение и водоотведение жильцам за 2011г      304,75м3</t>
  </si>
  <si>
    <t xml:space="preserve">           итого:                                        344м3 - 304,75м3 =  39,25м3</t>
  </si>
  <si>
    <t>ул. Спортивная, дом 11.</t>
  </si>
  <si>
    <t xml:space="preserve">                                           водоснабжение </t>
  </si>
  <si>
    <t xml:space="preserve"> в том числе:       Диспетчерское обслуживание,обслуживание  внутридомовых инженерных сетей,ликвидация аварий на  сетях и оборудовании.</t>
  </si>
  <si>
    <t xml:space="preserve">        Вывоз ТБО  (36чел *0,1м3 * 230руб *12мес.)</t>
  </si>
  <si>
    <t xml:space="preserve">                                     водоснабжение</t>
  </si>
  <si>
    <t>ул.Угловского, дом 36.</t>
  </si>
  <si>
    <t xml:space="preserve">  в том числе:               содерж.и текущий ремонт</t>
  </si>
  <si>
    <t xml:space="preserve">                    Вывоз ТБО  (80чел *0,1м3 * 230руб *12мес.)</t>
  </si>
  <si>
    <t>ул.Хабарова, дом 21а.</t>
  </si>
  <si>
    <t xml:space="preserve">                    Вывоз ТБО  (28чел *0,1м3 * 230руб *12мес.)</t>
  </si>
  <si>
    <t>Остаток денежных средств ( с учетом задолженности) на 01.01.2012г.                ( стр.2 - стр.5)</t>
  </si>
  <si>
    <t>Долги по капремонту сетей водоснабж. на 31.12.2011г кв.21</t>
  </si>
  <si>
    <t xml:space="preserve">           МУП "Водоканал" - предъявлено по цене( 20,80руб+38,07руб ) за        1177м3</t>
  </si>
  <si>
    <t xml:space="preserve">           Начисленно за водоснабжение и водоотведение жильцам за 2011г     1188м3</t>
  </si>
  <si>
    <t xml:space="preserve">           итого:                                        1177м3 - 1188м3 =  -11м3</t>
  </si>
  <si>
    <t>ул.Шалаурова,дом 15а</t>
  </si>
  <si>
    <t>Муниципальная доля по возмещению затрат на ремонт эл.проводки.</t>
  </si>
  <si>
    <t xml:space="preserve">                           Освещение мест общего пользования  686кВт</t>
  </si>
  <si>
    <t xml:space="preserve">                         Вывоз дворового мусора (тракторная телега) 1рейс (1600руб) сч.ф.№708 от 31.05.2011г ООО"АВС".Для подсыпки дворовой территории 1машина ПГС(1926руб)</t>
  </si>
  <si>
    <t>ул.Шмидта, дом 27</t>
  </si>
  <si>
    <t>ул.Шумилова, дом 15.</t>
  </si>
  <si>
    <t xml:space="preserve">                                          Отопление</t>
  </si>
  <si>
    <t xml:space="preserve">                                           Подогрев воды</t>
  </si>
  <si>
    <t xml:space="preserve">                                                            отопление</t>
  </si>
  <si>
    <t xml:space="preserve">                                                            подогрев воды</t>
  </si>
  <si>
    <t xml:space="preserve">                                           ООО "Электротеплосеть" - отопление</t>
  </si>
  <si>
    <t xml:space="preserve">                                           ООО "Электротеплосеть" - подогрев воды</t>
  </si>
  <si>
    <t xml:space="preserve">                    Вывоз ТБО  (258чел *0,1м3 * 230руб *12мес.)</t>
  </si>
  <si>
    <r>
      <t xml:space="preserve">                ООО "Вега": </t>
    </r>
    <r>
      <rPr>
        <sz val="10"/>
        <rFont val="Arial"/>
        <family val="2"/>
      </rPr>
      <t>Работы по ремонту метал.двери подъезд 1.сч.ф.№2</t>
    </r>
  </si>
  <si>
    <r>
      <t xml:space="preserve">Зарплата домкому по решению собрания: </t>
    </r>
    <r>
      <rPr>
        <sz val="9"/>
        <rFont val="Arial"/>
        <family val="2"/>
      </rPr>
      <t>с 1января 3450руб. + налоги на зарплату (26,2% * 3450 * 12мес)</t>
    </r>
  </si>
  <si>
    <t xml:space="preserve">                                    Подогрев воды</t>
  </si>
  <si>
    <t xml:space="preserve">           МУП "Водоканал" - предъявлено по цене( 20,80руб+38,07руб ) за        8649,15м3</t>
  </si>
  <si>
    <t xml:space="preserve">           Начисленно за водоснабжение и водоотведение жильцам за 2011г      8726,33м3</t>
  </si>
  <si>
    <t>ул.Шумилова, дом 34</t>
  </si>
  <si>
    <t xml:space="preserve">                           Освещение мест общего пользования  425 кВт</t>
  </si>
  <si>
    <t>ул.Угловского,дом 113</t>
  </si>
  <si>
    <t xml:space="preserve">Дополн.платеж на капрем.кровли.  С 01.02.20011г </t>
  </si>
  <si>
    <t>Долг по доп.платежу на 31.12.2011г.</t>
  </si>
  <si>
    <r>
      <t xml:space="preserve">                         ООО "АВС"</t>
    </r>
    <r>
      <rPr>
        <sz val="10"/>
        <rFont val="Arial"/>
        <family val="2"/>
      </rPr>
      <t xml:space="preserve">  Вывоз дворового мусора на тракторной телеге.</t>
    </r>
  </si>
  <si>
    <t xml:space="preserve">                                             в том числе:</t>
  </si>
  <si>
    <r>
      <t>июль:</t>
    </r>
    <r>
      <rPr>
        <sz val="11"/>
        <rFont val="Arial"/>
        <family val="2"/>
      </rPr>
      <t xml:space="preserve"> Капитальный ремонт кровли из оцинков.профнастила.</t>
    </r>
  </si>
  <si>
    <t xml:space="preserve">                  Текущий ремонт общего имущества:</t>
  </si>
  <si>
    <t>ул. Кирова, дом 81.</t>
  </si>
  <si>
    <t xml:space="preserve">        Вывоз ТБО  (9чел *0,1м3 * 230руб *12мес.)</t>
  </si>
  <si>
    <t xml:space="preserve">           МУП "Водоканал" - предъявлено по цене( 20,80руб+38,07руб ) за        177м3</t>
  </si>
  <si>
    <t xml:space="preserve">           Начисленно за водоснабжение и водоотведение жильцам за 2011г      111м3</t>
  </si>
  <si>
    <t xml:space="preserve">           итого:                                        177м3 - 111м3 =  66м3</t>
  </si>
  <si>
    <t>ул.Коммунальная, дом 4а.</t>
  </si>
  <si>
    <t>за  2011г</t>
  </si>
  <si>
    <t>1.</t>
  </si>
  <si>
    <t xml:space="preserve">   в том числе:             содержание и текущий ремонт</t>
  </si>
  <si>
    <t>2.</t>
  </si>
  <si>
    <t xml:space="preserve">  в том числе:         содерж.и текущий ремонт</t>
  </si>
  <si>
    <t xml:space="preserve">                                                    водоснабжение и водоотведение</t>
  </si>
  <si>
    <t>3.1.</t>
  </si>
  <si>
    <t xml:space="preserve">                                     Ресурсоснабжающие организации - всего</t>
  </si>
  <si>
    <t>3.2.</t>
  </si>
  <si>
    <t xml:space="preserve">  в том числе:         МУП"Водоканал"</t>
  </si>
  <si>
    <t>3.3.</t>
  </si>
  <si>
    <t xml:space="preserve">                                    Обслуживающие организации - всего</t>
  </si>
  <si>
    <t>5.</t>
  </si>
  <si>
    <t>Аварийно-диспетчерское обслуживание,ликвидация аварий внутридомовых сетей и оборудования</t>
  </si>
  <si>
    <t>Профилактическая дератизация</t>
  </si>
  <si>
    <t>Содержание дворовой территории</t>
  </si>
  <si>
    <t>Освещение мест общего пользования</t>
  </si>
  <si>
    <t>Вывоз ТБО  (23чел *0,1м3 * 230руб *12мес.)</t>
  </si>
  <si>
    <t>Расходы по управлению ЖКХ"Служба заказчика"</t>
  </si>
  <si>
    <t>Текущий ремонт общего имущества:</t>
  </si>
  <si>
    <t xml:space="preserve">Остаток денежных средств ( с учетом задолженности) на 01.01.2012г.              ( стр.2 - стр.3) </t>
  </si>
  <si>
    <t>ул.Коммунальная, дом 9.</t>
  </si>
  <si>
    <t xml:space="preserve">  в том числе:          содерж.и текущий ремонт</t>
  </si>
  <si>
    <r>
      <t xml:space="preserve">ООО"ЭТС": </t>
    </r>
    <r>
      <rPr>
        <sz val="9"/>
        <rFont val="Arial"/>
        <family val="2"/>
      </rPr>
      <t>Опломбирование эл.счетчика,постановка на учет</t>
    </r>
  </si>
  <si>
    <t>Вывоз ТБО  (76чел *0,1м3 * 230руб *12мес.)</t>
  </si>
  <si>
    <t>Текущий ремонт общего имущества:  всего</t>
  </si>
  <si>
    <t xml:space="preserve">Остаток денежных средств ( с учетом задолженности) на 01.01.2012г.                ( стр.2 - стр.3) </t>
  </si>
  <si>
    <t xml:space="preserve">           МУП "Водоканал" - предъявлено по цене( 20,80руб+38,07руб ) за        3762м3</t>
  </si>
  <si>
    <t xml:space="preserve">           Начисленно за водоснабжение и водоотведение жильцам за 2011г      3378м3</t>
  </si>
  <si>
    <t xml:space="preserve">           итого:                                        3762м3 - 3378м3 = 384м3</t>
  </si>
  <si>
    <t>ул.Коммунальная, дом 9а.</t>
  </si>
  <si>
    <t>Вывоз ТБО  (8чел *0,1м3 * 230руб *12мес.)</t>
  </si>
  <si>
    <t xml:space="preserve">                         в том числе:</t>
  </si>
  <si>
    <r>
      <t>октябрь:</t>
    </r>
    <r>
      <rPr>
        <sz val="9"/>
        <rFont val="Arial"/>
        <family val="2"/>
      </rPr>
      <t xml:space="preserve"> Снятие и ремонт оконной рамы в подъезде,смена стекла и уст-ка на место.</t>
    </r>
  </si>
  <si>
    <t>Чистка бойлера .Уст-ка заглуш.,обратн. клапана на трубопр. хол.воды в подвале.Уст-ка заглуш. на элев.узле.Подтяг. заглуш. на трубе гор.воды в элеват.узле.</t>
  </si>
  <si>
    <t xml:space="preserve">           МУП "Водоканал" - предъявлено по цене( 20,80руб+38,07руб ) за        283м3</t>
  </si>
  <si>
    <t xml:space="preserve">           Начисленно за водоснабжение и водоотведение жильцам за 2011г      200м3</t>
  </si>
  <si>
    <t xml:space="preserve">           итого:                                        283м3 - 200м3 = 83м3</t>
  </si>
  <si>
    <t>ул. Кооперативная, дом  8</t>
  </si>
  <si>
    <r>
      <t xml:space="preserve">                     Содержание дворовой территории:</t>
    </r>
    <r>
      <rPr>
        <sz val="9"/>
        <rFont val="Arial"/>
        <family val="2"/>
      </rPr>
      <t xml:space="preserve">  Окашивание травы на придомовой территории.</t>
    </r>
  </si>
  <si>
    <t xml:space="preserve">                         Вывоз ТБО  (16чел *0,1м3 * 230руб *12мес.)</t>
  </si>
  <si>
    <t xml:space="preserve">                         Текущий ремонт общего имущества:  -  всего</t>
  </si>
  <si>
    <r>
      <t>Остаток денежных средств</t>
    </r>
    <r>
      <rPr>
        <sz val="11"/>
        <rFont val="Arial"/>
        <family val="2"/>
      </rPr>
      <t>(за минусом задолженности)</t>
    </r>
    <r>
      <rPr>
        <b/>
        <sz val="14"/>
        <rFont val="Arial"/>
        <family val="2"/>
      </rPr>
      <t xml:space="preserve">  за 2011г</t>
    </r>
  </si>
  <si>
    <t>ул.Кооперативная, дом  66.</t>
  </si>
  <si>
    <t xml:space="preserve">                 Освещение мест общего пользования</t>
  </si>
  <si>
    <t xml:space="preserve">                  Вывоз ТБО  (28чел *0,1м3 * 230руб *12мес.)</t>
  </si>
  <si>
    <t>ул.Кооперативная, дом  68.</t>
  </si>
  <si>
    <t xml:space="preserve">                  Вывоз ТБО  (26чел *0,1м3 * 230руб *12мес.)</t>
  </si>
  <si>
    <t>ул.Копылова, дом 18а.</t>
  </si>
  <si>
    <t>Вывоз ТБО  (24чел *0,1м3 * 230руб *12мес.)</t>
  </si>
  <si>
    <t xml:space="preserve">Остаток денежных средств ( с учетом задолженности) на 01.01.2012г.                   ( стр.2 - стр.3) </t>
  </si>
  <si>
    <t>ул.Космонавтов, дом  3.</t>
  </si>
  <si>
    <t xml:space="preserve">                           Освещение мест общего пользования  1599кВт</t>
  </si>
  <si>
    <r>
      <t xml:space="preserve">                                 Содерж. двор. Территории:</t>
    </r>
    <r>
      <rPr>
        <sz val="9"/>
        <rFont val="Arial"/>
        <family val="2"/>
      </rPr>
      <t xml:space="preserve">Вывоз дворового мусора (тракторная телега) 1рейс </t>
    </r>
  </si>
  <si>
    <t xml:space="preserve">                         Вывоз ТБО  (36чел *0,1м3 * 230руб *12мес.)</t>
  </si>
  <si>
    <t>ул.Космонавтов, дом  7.</t>
  </si>
  <si>
    <t>ул.Космонавтов, дом  22а.</t>
  </si>
  <si>
    <t xml:space="preserve">                           Освещение мест общего пользования  445кВт</t>
  </si>
  <si>
    <t xml:space="preserve">                         Вывоз ТБО  (20чел *0,1м3 * 230руб *12мес.)</t>
  </si>
  <si>
    <t>ул.Красавинская, дом  1.</t>
  </si>
  <si>
    <t xml:space="preserve">                         Вывоз ТБО  (19чел *0,1м3 * 230руб *12мес.)</t>
  </si>
  <si>
    <t>ул.Красная, дом  65.</t>
  </si>
  <si>
    <r>
      <t xml:space="preserve">                          Содержание дворовой территории.</t>
    </r>
    <r>
      <rPr>
        <sz val="10"/>
        <rFont val="Arial"/>
        <family val="2"/>
      </rPr>
      <t>окашивание травы на придомовой территории.</t>
    </r>
  </si>
  <si>
    <t>ул.Красная, дом 69.</t>
  </si>
  <si>
    <r>
      <t>Содержание дворовой территории:</t>
    </r>
    <r>
      <rPr>
        <sz val="9"/>
        <rFont val="Arial"/>
        <family val="2"/>
      </rPr>
      <t>окашивание травы на придом.территории.</t>
    </r>
  </si>
  <si>
    <t>Вывоз ТБО  (5чел *0,1м3 * 230руб *12мес.)</t>
  </si>
  <si>
    <t>ул.Красная, дом 72.</t>
  </si>
  <si>
    <t xml:space="preserve">Остаток денежных средств (за минусом задолженности) на 01.01.2012г.                ( стр.2 - стр.3) </t>
  </si>
  <si>
    <t xml:space="preserve">Остаток денежных средств (за минусом задолженности) на 01.01.2011г.      </t>
  </si>
  <si>
    <t>ул.Красная, дом 73.</t>
  </si>
  <si>
    <t>Вывоз ТБО  (16чел *0,1м3 * 230руб *12мес.)</t>
  </si>
  <si>
    <t>Задолжен.на  31.12.2011г. Капрем.кровли.кв.1(2445,82),кв.4(2499,34).</t>
  </si>
  <si>
    <t>ул.Красная, дом 83</t>
  </si>
  <si>
    <r>
      <t>Содержание дворовой территории :</t>
    </r>
    <r>
      <rPr>
        <sz val="10"/>
        <rFont val="Arial"/>
        <family val="2"/>
      </rPr>
      <t>вывоз двор. мусора( трактор.телега) 1рейс.</t>
    </r>
  </si>
  <si>
    <t>Окашивание травы на придом.территории.</t>
  </si>
  <si>
    <t xml:space="preserve">                         Вывоз ТБО  (23чел *0,1м3 * 230руб *12мес.)</t>
  </si>
  <si>
    <t>Всего (за минусом задолженности) на 01.01.2012г.</t>
  </si>
  <si>
    <t>ул.Красная, дом  93.</t>
  </si>
  <si>
    <r>
      <t xml:space="preserve">                 Содержание двор. территории: </t>
    </r>
    <r>
      <rPr>
        <sz val="10"/>
        <rFont val="Arial"/>
        <family val="2"/>
      </rPr>
      <t>окашивание травы на придом.территории.</t>
    </r>
  </si>
  <si>
    <t xml:space="preserve">                  Вывоз ТБО  (8чел *0,1м3 * 230руб *12мес.)</t>
  </si>
  <si>
    <t>ул.Красная, дом 99.</t>
  </si>
  <si>
    <r>
      <t xml:space="preserve">В.Устюг.МО  ВДПО:  </t>
    </r>
    <r>
      <rPr>
        <sz val="9"/>
        <rFont val="Arial"/>
        <family val="2"/>
      </rPr>
      <t xml:space="preserve">проверка дымовых и вентиляц.каналов (всего 5 квартир) </t>
    </r>
  </si>
  <si>
    <t>Вывоз ТБО  (15чел *0,1м3 * 230руб *12мес.)</t>
  </si>
  <si>
    <t>ул.Красная, дом 118</t>
  </si>
  <si>
    <r>
      <t xml:space="preserve">                Содержание дворовой территории :</t>
    </r>
    <r>
      <rPr>
        <sz val="9"/>
        <rFont val="Arial"/>
        <family val="2"/>
      </rPr>
      <t>окашивание травы на прид.террит.</t>
    </r>
  </si>
  <si>
    <t xml:space="preserve">                         Текущий ремонт общего имущества- всего:</t>
  </si>
  <si>
    <t>ул.Красноармейская, дом  11.</t>
  </si>
  <si>
    <r>
      <t xml:space="preserve">ООО "Вега":   </t>
    </r>
    <r>
      <rPr>
        <sz val="9"/>
        <rFont val="Arial"/>
        <family val="2"/>
      </rPr>
      <t xml:space="preserve">Доводчик №4 морозостойкий  подъезд 1. </t>
    </r>
  </si>
  <si>
    <r>
      <t>Содержание дворовой территории:</t>
    </r>
    <r>
      <rPr>
        <sz val="10"/>
        <rFont val="Arial"/>
        <family val="2"/>
      </rPr>
      <t xml:space="preserve"> Погрузка эксковатором и вывозка двор.мусора на машине Камаз ООО"АВС"</t>
    </r>
  </si>
  <si>
    <t>Вывоз ТБО  (21чел *0,1м3 * 230руб *12мес.)</t>
  </si>
  <si>
    <t>ул.Красноармейская, дом  20.</t>
  </si>
  <si>
    <t>Вывоз ТБО  (18чел *0,1м3 * 230руб *12мес.)</t>
  </si>
  <si>
    <t>Премия за участие в конкурсе" Красивый двор"</t>
  </si>
  <si>
    <t>ул.Красноармейская, дом  22.</t>
  </si>
  <si>
    <t xml:space="preserve">                                          вывоз отходов  ТБ</t>
  </si>
  <si>
    <t xml:space="preserve">                                                          вывоз отходов ТБ</t>
  </si>
  <si>
    <t xml:space="preserve">                                          ООО "РСО-ОКС" - вывоз ТБО</t>
  </si>
  <si>
    <t>Вывоз ТБО  (18чел *0,1м3 * 230руб *7мес.)</t>
  </si>
  <si>
    <t>Разница по воде за 2010г сумму 13515,24руб. по решению собрания собственников от 11.08.2011г сминусовать с тарифа содержания дома.</t>
  </si>
  <si>
    <t xml:space="preserve">                                     вывоз отходов</t>
  </si>
  <si>
    <t>ул.Красноармейская, дом  34.</t>
  </si>
  <si>
    <t xml:space="preserve">                                                          отопление</t>
  </si>
  <si>
    <t xml:space="preserve">                                          ООО "Электротеплосеть"</t>
  </si>
  <si>
    <t xml:space="preserve">Содержание дворовой территории </t>
  </si>
  <si>
    <t>Вывоз ТБО  (64чел *0,1м3 * 230руб *12мес.)</t>
  </si>
  <si>
    <r>
      <t>ООО"Вега":</t>
    </r>
    <r>
      <rPr>
        <sz val="9"/>
        <rFont val="Arial"/>
        <family val="2"/>
      </rPr>
      <t xml:space="preserve">Ремонтные работы,замена абонентской перегов.трубки.кв.6. </t>
    </r>
  </si>
  <si>
    <r>
      <t xml:space="preserve">В.Устюгское МО   ВДПО:  </t>
    </r>
    <r>
      <rPr>
        <sz val="9"/>
        <rFont val="Arial"/>
        <family val="2"/>
      </rPr>
      <t xml:space="preserve">проверка дымовых и вентиляц.каналов (всего 40 квартир) </t>
    </r>
  </si>
  <si>
    <r>
      <t xml:space="preserve">  в том числе:       Диспетчерское обслуживание.</t>
    </r>
    <r>
      <rPr>
        <sz val="10"/>
        <rFont val="Arial"/>
        <family val="2"/>
      </rPr>
      <t>(4011,3*0,92*12мес)</t>
    </r>
  </si>
  <si>
    <t xml:space="preserve">                          обслуживание  внутридомовых инженерных сетей,ликвидация аварий на  сетях и оборудовании.</t>
  </si>
  <si>
    <t xml:space="preserve">                    Освещение мест общего пользования    13618кВт</t>
  </si>
  <si>
    <t>Расходы на управление ЖКХ"Служба заказчика" перерасчет с 2008г по 14.04.2010г по решению собрания  собственников жилья от 05.05.2011г.  63229,70руб)</t>
  </si>
  <si>
    <t>17.</t>
  </si>
  <si>
    <t>По решению  собственников жилья от 05.05.2011г.(разница по воде между индивид.приборами учета и общим водомером за 2010г  31694,75руб - отнести на затраты дома.</t>
  </si>
  <si>
    <t>18.</t>
  </si>
  <si>
    <t xml:space="preserve">                                        доп.платеж на космет.рем.подъездов</t>
  </si>
  <si>
    <t>Остаток денежных средств (за минусом  задолженности) на 01.01.2012г.       ( стр.2 - стр.5)</t>
  </si>
  <si>
    <t>Долг по доп.платежу на 31.12.2011г.(кв.3 - 454,34руб.,кв.7 - 690,20руб)</t>
  </si>
  <si>
    <t xml:space="preserve">           МУП "Водоканал" - предъявлено по цене( 20,80руб+38,07руб ) за        340м3</t>
  </si>
  <si>
    <t xml:space="preserve">           Начисленно за водоснабжение и водоотведение жильцам за 2011г      144,42м3</t>
  </si>
  <si>
    <t xml:space="preserve">           итого:                                        340м3 - 144,42м3 = 195,6м3</t>
  </si>
  <si>
    <t>Разница между показаниями общедомового прибора учета холод.воды и суммой показаний</t>
  </si>
  <si>
    <t>приборов учета холод.воды всех квартир и норм.потребления где приборы учета не установлены за 2011г.</t>
  </si>
  <si>
    <t xml:space="preserve">           МУП "Водоканал" - предъявлено по цене( 20,80руб+38,07руб ) за        3614м3</t>
  </si>
  <si>
    <t xml:space="preserve">           Начисленно за водоснабжение и водоотведение жильцам за 2011г      3190,98м3</t>
  </si>
  <si>
    <t xml:space="preserve">           итого:                                        3614м3 - 3190,98м3 =  423,02м3</t>
  </si>
  <si>
    <t>ул.Красноармейская, дом  45.</t>
  </si>
  <si>
    <r>
      <t xml:space="preserve">Содержание дворовой территории </t>
    </r>
    <r>
      <rPr>
        <sz val="10"/>
        <rFont val="Arial"/>
        <family val="2"/>
      </rPr>
      <t>зимняя уборка (с 1.11 по 31.04)</t>
    </r>
  </si>
  <si>
    <t>Вывоз ТБО  (25чел *0,1м3 * 230руб *12мес.)</t>
  </si>
  <si>
    <t>ул.Красноармейская, дом  47.</t>
  </si>
  <si>
    <t>Вывоз ТБО  (29чел *0,1м3 * 230руб *12мес.)</t>
  </si>
  <si>
    <r>
      <t xml:space="preserve">В.Устюгское МО  ВДПО:  </t>
    </r>
    <r>
      <rPr>
        <sz val="9"/>
        <rFont val="Arial"/>
        <family val="2"/>
      </rPr>
      <t xml:space="preserve">проверка дымовых и вентиляц.каналов (всего 16 квартир) </t>
    </r>
  </si>
  <si>
    <t>ул.Красноармейская, дом 49.</t>
  </si>
  <si>
    <t xml:space="preserve"> Начисленно с коммунальными услугами за 2011год.</t>
  </si>
  <si>
    <t>в том числе:                содержание и текущий ремонт</t>
  </si>
  <si>
    <t xml:space="preserve">  в том числе:                             содерж.и текущий ремонт</t>
  </si>
  <si>
    <t>3.</t>
  </si>
  <si>
    <t>4.</t>
  </si>
  <si>
    <t>Отключ. водопровода для устранения аварии.сч.ф.№ П-0045  МУП "Водоканал"</t>
  </si>
  <si>
    <t>Текущий ремонт общего имущества: всего</t>
  </si>
  <si>
    <t>Остаток денежных средств с коммун.услугами(за минусом задолженности) на 31.12.2011г.( стр.2- стр.3)</t>
  </si>
  <si>
    <t>ул.Красноармейская, дом  53.</t>
  </si>
  <si>
    <t xml:space="preserve">                         Вывоз ТБО  (14чел *0,1м3 * 230руб *12мес.)</t>
  </si>
  <si>
    <t xml:space="preserve">                         Текущий ремонт общего имущества  -  всего:</t>
  </si>
  <si>
    <t>ул.Красноармейская, дом  71.</t>
  </si>
  <si>
    <t xml:space="preserve">                                                   в том числе:</t>
  </si>
  <si>
    <r>
      <t>октябрь:</t>
    </r>
    <r>
      <rPr>
        <sz val="9"/>
        <rFont val="Arial"/>
        <family val="2"/>
      </rPr>
      <t xml:space="preserve"> Замена крыльца со сменой основания из бруса.Разборка и уст-во дерев. тротуара. </t>
    </r>
  </si>
  <si>
    <r>
      <t xml:space="preserve">декабрь:  </t>
    </r>
    <r>
      <rPr>
        <sz val="9"/>
        <rFont val="Arial"/>
        <family val="2"/>
      </rPr>
      <t>Очистка кровли от снежного свеса .</t>
    </r>
  </si>
  <si>
    <t>Всего за минусом задолженности на 01.01.2012г.</t>
  </si>
  <si>
    <t>ул.Красноармейская, дом 87.</t>
  </si>
  <si>
    <t xml:space="preserve">                    Вывоз ТБО  (81чел *0,1м3 * 230руб *12мес.)</t>
  </si>
  <si>
    <r>
      <t xml:space="preserve">                   ООО"Электротеплосеть": </t>
    </r>
    <r>
      <rPr>
        <sz val="10"/>
        <rFont val="Arial"/>
        <family val="2"/>
      </rPr>
      <t>Опломбирование эл.счетчика,постановка на учет</t>
    </r>
  </si>
  <si>
    <r>
      <t xml:space="preserve">                   СЭМ+:   </t>
    </r>
    <r>
      <rPr>
        <sz val="10"/>
        <rFont val="Arial"/>
        <family val="2"/>
      </rPr>
      <t>Аварийно-ремонтные работы.сч.ф.№71 .</t>
    </r>
  </si>
  <si>
    <r>
      <t xml:space="preserve">                       ООО"Вега":   </t>
    </r>
    <r>
      <rPr>
        <sz val="9"/>
        <rFont val="Arial"/>
        <family val="2"/>
      </rPr>
      <t>Уст-ка метал.вход.двери 1шт. С уст-кой доводчика.</t>
    </r>
  </si>
  <si>
    <r>
      <t>январь,март:</t>
    </r>
    <r>
      <rPr>
        <sz val="9"/>
        <rFont val="Arial"/>
        <family val="2"/>
      </rPr>
      <t>Остановка,чистка,ремонт и сборка бойлера.Запуск горячей воды.Подключ.и отключ.свароч.аппарата.Замена выключ.в бойлере.Осм.бойлера,циркул.насоса.Замер давления на водомере и на выходе гор.воды.Капремонт бойлера(38568,09руб).Замена 2х секций водонагрев.(ст-ть 23691руб).Тех.обслуж.элеват.узла.</t>
    </r>
  </si>
  <si>
    <r>
      <t xml:space="preserve">февраль: </t>
    </r>
    <r>
      <rPr>
        <sz val="9"/>
        <rFont val="Arial"/>
        <family val="2"/>
      </rPr>
      <t xml:space="preserve"> Очистка от снега и наледи кровли при помощи автовышки(1,5час - 3371руб) со двора.</t>
    </r>
  </si>
  <si>
    <r>
      <t xml:space="preserve">апрель: </t>
    </r>
    <r>
      <rPr>
        <sz val="9"/>
        <rFont val="Arial"/>
        <family val="2"/>
      </rPr>
      <t>Возмещение затрат по уст-ке метал.дверей 1подъезд ( по решению собрания)</t>
    </r>
  </si>
  <si>
    <t>Сборка и укрепление водосточных труб 4,0м с лестницы.Уборка мусора с придомов.территории(работа эксковатора и а/маш."Камаз" 1,5час.-2310руб)</t>
  </si>
  <si>
    <r>
      <t xml:space="preserve">август: </t>
    </r>
    <r>
      <rPr>
        <sz val="9"/>
        <rFont val="Arial"/>
        <family val="2"/>
      </rPr>
      <t>Рем.штук.и мел.,маслян.покраски двер.откосов 2 и 4подъезды.</t>
    </r>
  </si>
  <si>
    <t>Ремонт шиферной (32лист) кровли на всей площади дома отд.местами,рем.обделки оцинк.железом вытяжной шахты над кв.47,уст-ка решеток на вен.шахты.Подъем шифера и оц.железа при помощи а/вышки(1,5час -3129,75руб) на кровлю</t>
  </si>
  <si>
    <r>
      <t>сентябрь:</t>
    </r>
    <r>
      <rPr>
        <sz val="9"/>
        <rFont val="Arial"/>
        <family val="2"/>
      </rPr>
      <t>Окраска кузбаслаком метал.решеток входа в подвал.</t>
    </r>
  </si>
  <si>
    <t xml:space="preserve">           МУП "Водоканал" - предъявлено по цене( 20,80руб+38,07руб )за 4925м3</t>
  </si>
  <si>
    <t xml:space="preserve">           Начисленно за водоснабжение и водоотведение жильцам           4038м3</t>
  </si>
  <si>
    <t xml:space="preserve">           итого:                                        4925м3 - 4038м3 =  887м3</t>
  </si>
  <si>
    <t>ул. Кузнецкая, дом 1.</t>
  </si>
  <si>
    <t xml:space="preserve">                                          вывоз ТБО</t>
  </si>
  <si>
    <r>
      <t xml:space="preserve">                                            ООО"РСО-ОКС"  </t>
    </r>
    <r>
      <rPr>
        <b/>
        <sz val="9"/>
        <rFont val="Arial"/>
        <family val="2"/>
      </rPr>
      <t>вывоз ТБО и пользов.свалкой.</t>
    </r>
  </si>
  <si>
    <t xml:space="preserve">        Вывоз ТБО  (15чел *0,1м3 * 230руб *2мес.)</t>
  </si>
  <si>
    <t xml:space="preserve">           МУП "Водоканал" - предъявлено по цене( 20,80руб+38,07руб ) за        215м3</t>
  </si>
  <si>
    <t xml:space="preserve">           Начисленно за водоснабжение и водоотведение жильцам за 2011г      1904,37м3</t>
  </si>
  <si>
    <t xml:space="preserve">           итого:                                        215м3 - 176м3 =  39м3</t>
  </si>
  <si>
    <t>ул. Кузнецкая, дом 2.</t>
  </si>
  <si>
    <t xml:space="preserve">        Вывоз ТБО  (20чел *0,1м3 * 230руб *12мес.)</t>
  </si>
  <si>
    <t>Муниципальная доля по возмещению затрат на ремонт фундамента</t>
  </si>
  <si>
    <t>Муниципальная доля по возмещению затрат на ремонт электропроводки.</t>
  </si>
  <si>
    <t xml:space="preserve">           МУП "Водоканал" - предъявлено по цене( 20,80руб+38,07руб ) за        219м3</t>
  </si>
  <si>
    <t xml:space="preserve">           Начисленно за водоснабжение и водоотведение жильцам за 2011г      194м3</t>
  </si>
  <si>
    <t xml:space="preserve">           итого:                                        219м3 - 194м3 =  25м3</t>
  </si>
  <si>
    <t>ул.Кузнецкая, дом  8.</t>
  </si>
  <si>
    <t xml:space="preserve">                  Вывоз ТБО  (25чел *0,1м3 * 230руб *12мес.)</t>
  </si>
  <si>
    <t>ул.Кузнецова, дом 7.</t>
  </si>
  <si>
    <t xml:space="preserve">   в том числе:                содержание и текущий ремонт</t>
  </si>
  <si>
    <t xml:space="preserve">                    Вывоз ТБО  (165чел *0,1м3 * 230руб *12мес.)</t>
  </si>
  <si>
    <r>
      <t xml:space="preserve">                    ЗАО  " ЭЛЛИ "</t>
    </r>
    <r>
      <rPr>
        <sz val="10"/>
        <rFont val="Arial"/>
        <family val="2"/>
      </rPr>
      <t xml:space="preserve"> - уст-ка узла учета тепловой энергии в здании жил.дома.</t>
    </r>
  </si>
  <si>
    <r>
      <t xml:space="preserve">                    ООО"Электротеплосеть"</t>
    </r>
    <r>
      <rPr>
        <sz val="10"/>
        <rFont val="Arial"/>
        <family val="2"/>
      </rPr>
      <t xml:space="preserve"> - прием. в эксплуат. коммерч.узла учета тепла.</t>
    </r>
  </si>
  <si>
    <r>
      <t xml:space="preserve">                    МУП "Водоканал":</t>
    </r>
    <r>
      <rPr>
        <sz val="10"/>
        <rFont val="Arial"/>
        <family val="2"/>
      </rPr>
      <t xml:space="preserve">   Принятие водомерного узла.</t>
    </r>
  </si>
  <si>
    <t>Остаток денежных средств (за минусом задолженности) на 01.01.2012г.       (1211191,35 - 1070789,11)</t>
  </si>
  <si>
    <t>Собрано средств за аренду рекламного щита на здании за 2012г</t>
  </si>
  <si>
    <t xml:space="preserve">Израсходовано:     </t>
  </si>
  <si>
    <t>ул.Кузнецова, дом 15.</t>
  </si>
  <si>
    <t xml:space="preserve">                    Вывоз ТБО  (191чел *0,1м3 * 230руб *12мес.)</t>
  </si>
  <si>
    <r>
      <t xml:space="preserve">ООО "Вега" май: </t>
    </r>
    <r>
      <rPr>
        <sz val="9"/>
        <rFont val="Arial"/>
        <family val="2"/>
      </rPr>
      <t>Кнопка открывания двери с подсветкой и работы по ремонту домофона п.4,работа по ремонту домофона и регулировка доводчика п.1, работа по ремонту блока вызова п.2. Работа по замене трубки абонентской переговорной кв.74</t>
    </r>
  </si>
  <si>
    <r>
      <t xml:space="preserve">октябрь: </t>
    </r>
    <r>
      <rPr>
        <sz val="9"/>
        <rFont val="Arial"/>
        <family val="2"/>
      </rPr>
      <t>Работа по ремонту домофона  п.2, сч.ф.№248</t>
    </r>
  </si>
  <si>
    <r>
      <t>ноябрь:</t>
    </r>
    <r>
      <rPr>
        <sz val="9"/>
        <rFont val="Arial"/>
        <family val="2"/>
      </rPr>
      <t xml:space="preserve"> Ремонтные работы по восстановлению домофон.связи на входную дверь подъезд,3.</t>
    </r>
  </si>
  <si>
    <r>
      <t>ФБУЗ "Центр гигиены и эпидем".:</t>
    </r>
    <r>
      <rPr>
        <sz val="9"/>
        <rFont val="Arial"/>
        <family val="2"/>
      </rPr>
      <t xml:space="preserve"> Отбор проб для изследования показаний мутности и железа в воде.</t>
    </r>
  </si>
  <si>
    <r>
      <t xml:space="preserve">                         ООО "СЭМ+":  </t>
    </r>
    <r>
      <rPr>
        <sz val="9"/>
        <rFont val="Arial"/>
        <family val="2"/>
      </rPr>
      <t>Уст-ка автовыключателя.</t>
    </r>
  </si>
  <si>
    <t>По решению собрания от февраля 2011г. собствен.жилья выдать материальную помощь: Момотову В.А.-4000руб,Протасовой Г.С.-900руб.,Стрекаловской Т.И. 1000руб.</t>
  </si>
  <si>
    <t>Остаток денежных средств (за минусом задолженности) на 01.01.2012г.       (стр.2-стр.5)</t>
  </si>
  <si>
    <r>
      <t>Долг по кап.рем.горяч.и холод.водснабж. за 2007г:</t>
    </r>
    <r>
      <rPr>
        <sz val="9"/>
        <rFont val="Arial"/>
        <family val="2"/>
      </rPr>
      <t xml:space="preserve"> на 31.12.2011г.кв.1,13,15,17,21,30,42,57</t>
    </r>
  </si>
  <si>
    <t>Отчет об использовании денежных средств</t>
  </si>
  <si>
    <t>поступивших от жителей многоквартирного дома по адресу</t>
  </si>
  <si>
    <t>ул. 3й пр.Щетинщиков, дом 1.</t>
  </si>
  <si>
    <t>за  2011 год</t>
  </si>
  <si>
    <t>Общая площадь дома</t>
  </si>
  <si>
    <r>
      <t>Тарифы:</t>
    </r>
    <r>
      <rPr>
        <sz val="10"/>
        <rFont val="Arial"/>
        <family val="2"/>
      </rPr>
      <t xml:space="preserve">содержание           </t>
    </r>
  </si>
  <si>
    <t xml:space="preserve">                текущий ремонт     </t>
  </si>
  <si>
    <t>Задолженность жильцов на 01.01.2011г.</t>
  </si>
  <si>
    <t>Начисленно квартплаты  за 2011год.:</t>
  </si>
  <si>
    <t xml:space="preserve">   в том числе                содержание и текущий ремонт</t>
  </si>
  <si>
    <t xml:space="preserve">                                           водоснабжение и водоотведение</t>
  </si>
  <si>
    <t>Поступило денежных средств от жильцов,руб</t>
  </si>
  <si>
    <t>2.1.</t>
  </si>
  <si>
    <t xml:space="preserve">                в том числе:     содерж.и текущий ремонт</t>
  </si>
  <si>
    <t>2.2.</t>
  </si>
  <si>
    <t xml:space="preserve">                                             водоснабжение и водоотведение</t>
  </si>
  <si>
    <t>Оплата услуг ресурсоснабжающих и обслуживающих организаций - всего</t>
  </si>
  <si>
    <t xml:space="preserve">                                          Ресурсоснабжающие организации - всего</t>
  </si>
  <si>
    <t>5.1.</t>
  </si>
  <si>
    <t xml:space="preserve">  в том числе:                     МУП"Водоканал"</t>
  </si>
  <si>
    <t>5.2.</t>
  </si>
  <si>
    <t xml:space="preserve">                                          Обслуживающие организации - всего</t>
  </si>
  <si>
    <t>6.</t>
  </si>
  <si>
    <t xml:space="preserve">  в том числе:       Диспетчерское обслуживание,обслуживание  внутридомовых инженерных сетей,ликвидация аварий на  сетях и оборудовании.</t>
  </si>
  <si>
    <t>7.</t>
  </si>
  <si>
    <t xml:space="preserve">                     Профилактическая дератизация</t>
  </si>
  <si>
    <t>8.</t>
  </si>
  <si>
    <t xml:space="preserve">                    Содержание дворовой территории:</t>
  </si>
  <si>
    <t>9.</t>
  </si>
  <si>
    <r>
      <t xml:space="preserve">                            июль:</t>
    </r>
    <r>
      <rPr>
        <sz val="9"/>
        <rFont val="Arial"/>
        <family val="2"/>
      </rPr>
      <t xml:space="preserve"> Окашивание травы на придомовой территории.</t>
    </r>
    <r>
      <rPr>
        <b/>
        <sz val="9"/>
        <rFont val="Arial"/>
        <family val="2"/>
      </rPr>
      <t xml:space="preserve"> </t>
    </r>
  </si>
  <si>
    <t>10.</t>
  </si>
  <si>
    <t xml:space="preserve">                    Освещение мест общего пользования</t>
  </si>
  <si>
    <t>11.</t>
  </si>
  <si>
    <t xml:space="preserve">                    Вывоз ТБО  (23чел *0,1м3 * 230руб *12мес.)</t>
  </si>
  <si>
    <t>12.</t>
  </si>
  <si>
    <r>
      <t xml:space="preserve">                          МУП"Водоканал"  </t>
    </r>
    <r>
      <rPr>
        <sz val="9"/>
        <rFont val="Arial"/>
        <family val="2"/>
      </rPr>
      <t>Услуги по принятию водомерного узла.сч.ф.№ П-0218</t>
    </r>
  </si>
  <si>
    <t>13.</t>
  </si>
  <si>
    <t xml:space="preserve">                    Расходы по управлению ЖКХ"Служба заказчика"</t>
  </si>
  <si>
    <t>14.</t>
  </si>
  <si>
    <t xml:space="preserve">                   Текущий ремонт общего имущества:   всего</t>
  </si>
  <si>
    <t xml:space="preserve">   втом числе:</t>
  </si>
  <si>
    <t>Остаток денежных средств ( с учетом задолженности) на 01.01.2012г.       ( стр.2 - стр.5)</t>
  </si>
  <si>
    <t xml:space="preserve">Остаток денежных средств ( с учетом задолженности) на 01.01.2011г.      </t>
  </si>
  <si>
    <t>Всего на 01.01.2012г.</t>
  </si>
  <si>
    <t>Сумма задолженности за жилищно-коммун.услуги на 31.12. 2011г - всего</t>
  </si>
  <si>
    <t xml:space="preserve">   в том числе :         содержание и текущий ремонт общ.имущества                   </t>
  </si>
  <si>
    <t xml:space="preserve">                                     водоотведение</t>
  </si>
  <si>
    <t>ул. 3й пр.Щетинщиков, дом 3.</t>
  </si>
  <si>
    <t xml:space="preserve">                                           водоснабжение</t>
  </si>
  <si>
    <t xml:space="preserve">                в том числе:   содерж.и текущий ремонт</t>
  </si>
  <si>
    <t xml:space="preserve">                                             водоснабжение</t>
  </si>
  <si>
    <t xml:space="preserve">                    Вывоз ТБО  (17чел *0,1м3 * 230руб *12мес.)</t>
  </si>
  <si>
    <r>
      <t xml:space="preserve">                         ООО "Вега"   </t>
    </r>
    <r>
      <rPr>
        <sz val="9"/>
        <rFont val="Arial"/>
        <family val="2"/>
      </rPr>
      <t>Уст-ка метал.вход.двери 1шт. С уст-кой домофонной связи.</t>
    </r>
  </si>
  <si>
    <r>
      <t xml:space="preserve">февраль:  </t>
    </r>
    <r>
      <rPr>
        <sz val="9"/>
        <rFont val="Arial"/>
        <family val="2"/>
      </rPr>
      <t>Чистка печных и дымовых труб.</t>
    </r>
  </si>
  <si>
    <r>
      <t>март:</t>
    </r>
    <r>
      <rPr>
        <sz val="9"/>
        <rFont val="Arial"/>
        <family val="2"/>
      </rPr>
      <t>Очистка кровли от снежного свеса и наледи над эл.вводом.</t>
    </r>
  </si>
  <si>
    <t>Остаток денежных средств ( с учетом задолженности) на 01.01.2012г.       (стр.2 - стр.5)</t>
  </si>
  <si>
    <t>Остаток денежных средств ( с учетом задолженности) за  2011г.содержание и текущий ремонт       (стр.2.1.- 5.2.)</t>
  </si>
  <si>
    <t>ул.3й пр. Щетинщиков,дом 2.</t>
  </si>
  <si>
    <r>
      <t>Тарифы:</t>
    </r>
    <r>
      <rPr>
        <sz val="11"/>
        <rFont val="Arial"/>
        <family val="2"/>
      </rPr>
      <t xml:space="preserve">содержание           </t>
    </r>
  </si>
  <si>
    <t>Начисленно квартплаты за 2011г.</t>
  </si>
  <si>
    <t>Поступило денежных средств от жильцов</t>
  </si>
  <si>
    <t>Задолженность жильцов:</t>
  </si>
  <si>
    <t>содержание и ремонт на 31.12.2011г.</t>
  </si>
  <si>
    <t>4.1.</t>
  </si>
  <si>
    <t>4.3.</t>
  </si>
  <si>
    <t xml:space="preserve">                   Профилактическая дератизация</t>
  </si>
  <si>
    <r>
      <t xml:space="preserve">                  Содержание двор.террит.</t>
    </r>
    <r>
      <rPr>
        <sz val="11"/>
        <rFont val="Arial"/>
        <family val="2"/>
      </rPr>
      <t xml:space="preserve"> Окашивание травы на придом. территории.</t>
    </r>
    <r>
      <rPr>
        <b/>
        <sz val="11"/>
        <rFont val="Arial"/>
        <family val="2"/>
      </rPr>
      <t xml:space="preserve"> </t>
    </r>
  </si>
  <si>
    <t>4.4.</t>
  </si>
  <si>
    <t xml:space="preserve">                  Вывоз ТБО  (21чел *0,1м3 * 230руб *12мес.)</t>
  </si>
  <si>
    <t xml:space="preserve">                  Расходы по управлению ЖКХ"Служба заказчика"</t>
  </si>
  <si>
    <t xml:space="preserve">                   Текущий ремонт общего имущества:</t>
  </si>
  <si>
    <r>
      <t>март:</t>
    </r>
    <r>
      <rPr>
        <sz val="9"/>
        <rFont val="Arial"/>
        <family val="2"/>
      </rPr>
      <t xml:space="preserve">  Очистка кровли.Изгот-ние,уст-ка и креп-ие лестницы на крыше.Свар. работы по уст-ке и креплению пожар. лестницы к дому.Уст-ка и крепление пожар. лестницы к дому.Перекладка дымовой трубы в 2канала на чердаке и выше крыши кв.6,8;9,11.рем. оголовка кух. дым. трубы кв.5,7.Поднятие кирпича на чердак и крышу дома.</t>
    </r>
  </si>
  <si>
    <r>
      <t xml:space="preserve">апрель: </t>
    </r>
    <r>
      <rPr>
        <sz val="9"/>
        <rFont val="Arial"/>
        <family val="2"/>
      </rPr>
      <t>Смена металлич.обделки дымовых труб оцинков.железом (кв.8,9).Штукатурка дымовых труб под крышей,сверш крыши (кв.8,9) с приготовлением раствора.</t>
    </r>
  </si>
  <si>
    <r>
      <t>декабрь:</t>
    </r>
    <r>
      <rPr>
        <sz val="9"/>
        <rFont val="Arial"/>
        <family val="2"/>
      </rPr>
      <t>Элек.монтажные работы по замене эл.проводки ООО"РСО-ОКС"сч.ф.№483</t>
    </r>
  </si>
  <si>
    <t>Остаток денежных средств на 01.01.2011г</t>
  </si>
  <si>
    <t>Остаток денежных средств  за 2011г</t>
  </si>
  <si>
    <t>ул. 4й пр.Щетинщиков, дом 3.</t>
  </si>
  <si>
    <t xml:space="preserve">   в том числе :               содержание и текущий ремонт</t>
  </si>
  <si>
    <t xml:space="preserve">                    Вывоз ТБО  (14чел *0,1м3 * 230руб *12мес.)</t>
  </si>
  <si>
    <r>
      <t xml:space="preserve">                          ООО"Электротеплосеть" </t>
    </r>
    <r>
      <rPr>
        <sz val="9"/>
        <rFont val="Arial"/>
        <family val="2"/>
      </rPr>
      <t>Опломбирование эл.счетчика,постановка на учет</t>
    </r>
  </si>
  <si>
    <r>
      <t>март:</t>
    </r>
    <r>
      <rPr>
        <sz val="9"/>
        <rFont val="Arial"/>
        <family val="2"/>
      </rPr>
      <t>Очистка кровли от наледи над подъездом.</t>
    </r>
  </si>
  <si>
    <r>
      <t xml:space="preserve">апрель:  </t>
    </r>
    <r>
      <rPr>
        <sz val="9"/>
        <rFont val="Arial"/>
        <family val="2"/>
      </rPr>
      <t>Электромонтаж.работы по замене эл.проводки.сч.ф.№168 ООО"РСО-ОКС"</t>
    </r>
  </si>
  <si>
    <r>
      <t xml:space="preserve">апрель: </t>
    </r>
    <r>
      <rPr>
        <sz val="9"/>
        <rFont val="Arial"/>
        <family val="2"/>
      </rPr>
      <t>Уборка дворовой террит.от снега при помощи трактора МТЗ-82.сч.ф№.81 ИП Пашинский М.В.</t>
    </r>
  </si>
  <si>
    <r>
      <t>май:</t>
    </r>
    <r>
      <rPr>
        <sz val="9"/>
        <rFont val="Arial"/>
        <family val="2"/>
      </rPr>
      <t xml:space="preserve"> Обследование провальной трубы кв.2,6.</t>
    </r>
  </si>
  <si>
    <r>
      <t>июль:</t>
    </r>
    <r>
      <rPr>
        <sz val="9"/>
        <rFont val="Arial"/>
        <family val="2"/>
      </rPr>
      <t>Окашивание травы на придомовой территории.</t>
    </r>
  </si>
  <si>
    <r>
      <t>декабрь:</t>
    </r>
    <r>
      <rPr>
        <sz val="9"/>
        <rFont val="Arial"/>
        <family val="2"/>
      </rPr>
      <t>Очистка кровли от снежного свеса со двора.Утеплен.чердачного перекрытия.</t>
    </r>
  </si>
  <si>
    <t>Остаток денежных средств ( с учетом задолженности) за  2011г.содержание и текущий ремонт       (стр.2.1. - стр.5.2.)</t>
  </si>
  <si>
    <t>ул.Атласова,дом 1а</t>
  </si>
  <si>
    <t>4.2.</t>
  </si>
  <si>
    <t xml:space="preserve">                           Освещение мест общего пользования  291кВт</t>
  </si>
  <si>
    <t xml:space="preserve">                          Профилактическая дератизация</t>
  </si>
  <si>
    <t xml:space="preserve">                         Вывоз дворового мусора трактором с ручн.погруз. 5м3 сч.ф.№714 от 31.05.2011г ООО"АВС"</t>
  </si>
  <si>
    <t xml:space="preserve">                         Вывоз ТБО  (24чел *0,1м3 * 230руб *12мес.)</t>
  </si>
  <si>
    <t xml:space="preserve">                         Текущий ремонт общего имущества:</t>
  </si>
  <si>
    <t xml:space="preserve">                         Расходы по управлению ЖКХ"Служба заказчика"</t>
  </si>
  <si>
    <t xml:space="preserve">     поступивших от жителей многоквартирного дома по адресу</t>
  </si>
  <si>
    <t>ул. Атласова, дом 10.</t>
  </si>
  <si>
    <t>1.1.</t>
  </si>
  <si>
    <t xml:space="preserve">   в том числе:              содержание и текущий ремонт</t>
  </si>
  <si>
    <t>1.2.</t>
  </si>
  <si>
    <t xml:space="preserve">                                          водоснабжение и водоотведение</t>
  </si>
  <si>
    <t xml:space="preserve">                                          отопление</t>
  </si>
  <si>
    <t xml:space="preserve">                                          подогрев воды</t>
  </si>
  <si>
    <t xml:space="preserve">  в том числе:                содерж.и текущий ремонт</t>
  </si>
  <si>
    <t xml:space="preserve">  в том числе:                МУП"Водоканал"</t>
  </si>
  <si>
    <t xml:space="preserve">                                         ООО "Электротеплосеть"</t>
  </si>
  <si>
    <t xml:space="preserve">                    Вывоз ТБО  (32чел *0,1м3 * 230руб *12мес.)</t>
  </si>
  <si>
    <r>
      <t xml:space="preserve">                            ООО" Техносервис":</t>
    </r>
    <r>
      <rPr>
        <sz val="9"/>
        <rFont val="Arial"/>
        <family val="2"/>
      </rPr>
      <t xml:space="preserve"> Ревизия,регулировка и проверка теплосчетчика Мультикал ду 32.Снятие и установка приборов с выездом на объект. </t>
    </r>
  </si>
  <si>
    <t>15.</t>
  </si>
  <si>
    <r>
      <t>май:</t>
    </r>
    <r>
      <rPr>
        <sz val="9"/>
        <rFont val="Arial"/>
        <family val="2"/>
      </rPr>
      <t>Установка кранов на трубе отопления для регулирования температуры в системе отопления всего дома(по заявлению кв.1).Чистка водонагревателя.Уст-ка заглушек на элеват.узле.</t>
    </r>
  </si>
  <si>
    <r>
      <t>июнь:</t>
    </r>
    <r>
      <rPr>
        <sz val="9"/>
        <rFont val="Arial"/>
        <family val="2"/>
      </rPr>
      <t>Уст-ка шар.крана на элев.узле.Уст-ка калиброван.шайбы.</t>
    </r>
  </si>
  <si>
    <r>
      <t>сентябрь:</t>
    </r>
    <r>
      <rPr>
        <sz val="9"/>
        <rFont val="Arial"/>
        <family val="2"/>
      </rPr>
      <t>Уст-ка задвижки (ст-ть 1шт - 2542,32руб) на обратке в элеват.узле.</t>
    </r>
  </si>
  <si>
    <r>
      <t xml:space="preserve">август: </t>
    </r>
    <r>
      <rPr>
        <sz val="9"/>
        <rFont val="Arial"/>
        <family val="2"/>
      </rPr>
      <t>Ремонт кирп.кладки стены с уреплением метал.каркасом.Ремонт отмостки с укладкой армат.сетки.Устр-во 2х бетон.крылец с ливневой канализацией.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Ремонт штукатурки цоколя,окраска известков.составом,устр-во метал.обделки по периметру дома из лист.стали.сч.ф.№362,346  ООО"РСО-ОКС" </t>
    </r>
  </si>
  <si>
    <t xml:space="preserve">Капитальный ремонт кровли .      </t>
  </si>
  <si>
    <r>
      <t>ноябрь:</t>
    </r>
    <r>
      <rPr>
        <sz val="9"/>
        <rFont val="Arial"/>
        <family val="2"/>
      </rPr>
      <t xml:space="preserve"> Устр-во забора (копание ям,уст-ка столба и прожилин,крепление штакетника к прожилинам).Обслед. слухового окна,снятие с чердака оконной створки.Обслед. оконной рамы в подъезде.Ремонт оконной рамы в столярном цехе,остекление,маслян.окраска окон.створки.Остекление оконной створки и уст-ка в подъезде.(декабрь - 1051,64руб))</t>
    </r>
  </si>
  <si>
    <r>
      <t>декабрь:</t>
    </r>
    <r>
      <rPr>
        <sz val="9"/>
        <rFont val="Arial"/>
        <family val="2"/>
      </rPr>
      <t xml:space="preserve"> Ремонт пола в тамбуре со сменой бруса под дверной коробкой,уст-ка желоба. </t>
    </r>
  </si>
  <si>
    <t xml:space="preserve">Остаток денежных средств ( с учетом задолженности) на 01.01.2012г.       ( стр.2 - стр.5) </t>
  </si>
  <si>
    <t xml:space="preserve">                                     водоснабжение и водоотведение</t>
  </si>
  <si>
    <t xml:space="preserve">                                     отопление</t>
  </si>
  <si>
    <t xml:space="preserve">                                    подогрев воды</t>
  </si>
  <si>
    <t>ул.Атласова, дом 11</t>
  </si>
  <si>
    <r>
      <t>март:</t>
    </r>
    <r>
      <rPr>
        <sz val="9"/>
        <rFont val="Arial"/>
        <family val="2"/>
      </rPr>
      <t xml:space="preserve">  Чистка дымовых и печных труб.</t>
    </r>
  </si>
  <si>
    <r>
      <t>май,сентябрь:</t>
    </r>
    <r>
      <rPr>
        <sz val="9"/>
        <rFont val="Arial"/>
        <family val="2"/>
      </rPr>
      <t>Разб-ка стенок подвала из досок,раз-ка кирпич.кладки,зачистка подвала от мусора(2под.).Укрепление фунд-нта цементизацией,смена венца из бруса,смена балок,уст-во чистого пола,уст-во каркасной перегородки,засыпка ПГС ямы подвала.Ремонт гипсокартона отдельными местами,обшивка каркасной перегородки гипсокартоном,уст-ка плинтусов.Покраска пола и стен во 2м подъезде.</t>
    </r>
  </si>
  <si>
    <t>ул.Атласова,дом 15а</t>
  </si>
  <si>
    <t xml:space="preserve">                           Освещение мест общего пользования  303кВт</t>
  </si>
  <si>
    <t xml:space="preserve">                         Вывоз ТБО  (21чел *0,1м3 * 230руб *12мес.)</t>
  </si>
  <si>
    <t xml:space="preserve">                         Текущий ремонт общего имущества:  всего</t>
  </si>
  <si>
    <t xml:space="preserve">                                                      в том числе:</t>
  </si>
  <si>
    <r>
      <t>февраль:</t>
    </r>
    <r>
      <rPr>
        <sz val="9"/>
        <rFont val="Arial"/>
        <family val="2"/>
      </rPr>
      <t xml:space="preserve"> Ремонт отопительной печи кв.2.</t>
    </r>
  </si>
  <si>
    <r>
      <t xml:space="preserve">сентябрь: </t>
    </r>
    <r>
      <rPr>
        <sz val="9"/>
        <rFont val="Arial"/>
        <family val="2"/>
      </rPr>
      <t xml:space="preserve"> Рем.кирп.стенки выгреб.ямы со стор. подвала кв.4.Оштук.поверх.стен в/ямы.</t>
    </r>
  </si>
  <si>
    <r>
      <t>октябрь:</t>
    </r>
    <r>
      <rPr>
        <sz val="9"/>
        <rFont val="Arial"/>
        <family val="2"/>
      </rPr>
      <t xml:space="preserve"> по заявлению собственника кв.2 оплачено ст-ть материала по чекам(цемент,пиломатериал) на ремонт полов,половых балок с кирпич.стойками.</t>
    </r>
  </si>
  <si>
    <r>
      <t xml:space="preserve">Остаток денежных средств  за 2011г   </t>
    </r>
    <r>
      <rPr>
        <sz val="11"/>
        <rFont val="Arial"/>
        <family val="2"/>
      </rPr>
      <t>(стр.2 - стр.4)</t>
    </r>
  </si>
  <si>
    <t>ул.Виноградова, дом 62.</t>
  </si>
  <si>
    <t xml:space="preserve">                                           ООО "Электротеплосеть"</t>
  </si>
  <si>
    <t xml:space="preserve">                в том числе:                    содерж.и текущий ремонт</t>
  </si>
  <si>
    <t xml:space="preserve">                                                             водоснабжение и водоотведение</t>
  </si>
  <si>
    <t xml:space="preserve">                                                             ООО "Электротеплосеть"</t>
  </si>
  <si>
    <t xml:space="preserve">                    Содержание дворовой территории</t>
  </si>
  <si>
    <t xml:space="preserve">                    Вывоз ТБО  (123чел *0,1м3 * 230руб *12мес.)</t>
  </si>
  <si>
    <r>
      <t xml:space="preserve">                    МУП"Водоканал":  </t>
    </r>
    <r>
      <rPr>
        <sz val="10"/>
        <rFont val="Arial"/>
        <family val="2"/>
      </rPr>
      <t>Услуги по принятию водомерного узла.сч.ф.№ П-0031</t>
    </r>
  </si>
  <si>
    <r>
      <t xml:space="preserve">                  ЗАО"Элли":</t>
    </r>
    <r>
      <rPr>
        <sz val="10"/>
        <rFont val="Arial"/>
        <family val="2"/>
      </rPr>
      <t>Выполнение работ по проектированию,комплектации,монтажу и пуску в эксплуатацию узла учета тепловой энергии.сч.фактура.</t>
    </r>
  </si>
  <si>
    <r>
      <t xml:space="preserve">                      ВДПО:</t>
    </r>
    <r>
      <rPr>
        <sz val="10"/>
        <rFont val="Arial"/>
        <family val="2"/>
      </rPr>
      <t xml:space="preserve"> Проверка дымовых и вентиляц.каналов.</t>
    </r>
  </si>
  <si>
    <r>
      <t xml:space="preserve">                "Центр гигиены и эпидемиологии":</t>
    </r>
    <r>
      <rPr>
        <sz val="10"/>
        <rFont val="Arial"/>
        <family val="2"/>
      </rPr>
      <t xml:space="preserve"> Отбор проб для изслед-ия показаний                                                                                                                              мутности и железа в воде.сч.ф.№2007</t>
    </r>
  </si>
  <si>
    <r>
      <t>ООО"Техносервис" :</t>
    </r>
    <r>
      <rPr>
        <sz val="10"/>
        <rFont val="Arial"/>
        <family val="2"/>
      </rPr>
      <t xml:space="preserve"> Ревизия,регулировка и проверка теплосчетчика СПТ941К.Снятие и установка приборов с выездом на объект. Сч.ф.№324  2011г.Оформление дубликата паспорта на теплосчетчик.</t>
    </r>
  </si>
  <si>
    <t>Остаток денежных средств ( с учетом задолженности) на 01.01.2012г.       (1407364,82 - 1346696,17)</t>
  </si>
  <si>
    <t xml:space="preserve">                                     Отопление</t>
  </si>
  <si>
    <t>Разница между показаниями общедомового прибора учета воды и суммой показаний</t>
  </si>
  <si>
    <t xml:space="preserve">приборов учета воды всех квартир и норм.потребления где приборы учета не установлены </t>
  </si>
  <si>
    <t xml:space="preserve"> за 2011г.</t>
  </si>
  <si>
    <t xml:space="preserve">           МУП "Водоканал" - предъявлено по цене( 20,80руб+38,07руб ) за        4309м3</t>
  </si>
  <si>
    <t xml:space="preserve">           Начисленно за водоснабжение и водоотведение жильцам за 2011г      3857,4м3</t>
  </si>
  <si>
    <t xml:space="preserve">           итого:                                        4309м3 - 3857,4м3 =  451,6м3</t>
  </si>
  <si>
    <t>ул.Виноградова, дом 64.</t>
  </si>
  <si>
    <t>2.3.</t>
  </si>
  <si>
    <t>5.3.</t>
  </si>
  <si>
    <r>
      <t xml:space="preserve">                           Центр гигиены и эпидемиологии":</t>
    </r>
    <r>
      <rPr>
        <sz val="9"/>
        <rFont val="Arial"/>
        <family val="2"/>
      </rPr>
      <t xml:space="preserve">  Отбор проб воды для лабораторных иследований.Иследование на железо,на мутность.</t>
    </r>
  </si>
  <si>
    <t xml:space="preserve">                    Вывоз ТБО  (139чел *0,1м3 * 230руб *12мес.)</t>
  </si>
  <si>
    <r>
      <t xml:space="preserve">                           ООО"ЭТС": </t>
    </r>
    <r>
      <rPr>
        <sz val="9"/>
        <rFont val="Arial"/>
        <family val="2"/>
      </rPr>
      <t>Опломбирование эл.счетчика,постановка на учет</t>
    </r>
  </si>
  <si>
    <r>
      <t xml:space="preserve">                    МУП"Водоканал":  </t>
    </r>
    <r>
      <rPr>
        <sz val="10"/>
        <rFont val="Arial"/>
        <family val="2"/>
      </rPr>
      <t>Услуги по принятию водомерного узла.</t>
    </r>
  </si>
  <si>
    <t>Остаток денежных средств ( с учетом задолженности) за  2011г.содержание и текущий ремонт       (стр.2.1. -  стр.5.3.)</t>
  </si>
  <si>
    <t>приборов учета воды всех квартир и норм.потребления где приборы учета не установлены за 2011г</t>
  </si>
  <si>
    <t xml:space="preserve">           МУП "Водоканал" - предъявлено по цене( 20,80руб+38,07руб ) за        4585м3</t>
  </si>
  <si>
    <t xml:space="preserve">           Начисленно за водоснабжение и водоотведение жильцам за 2011г      4317,3м3</t>
  </si>
  <si>
    <t xml:space="preserve">           итого:                                        4585м3 - 4317,3м3 =  267,7м3</t>
  </si>
  <si>
    <t>ул.Виноградова, дом 68.</t>
  </si>
  <si>
    <t xml:space="preserve">                                           Отопление</t>
  </si>
  <si>
    <t xml:space="preserve">                                                             отопление</t>
  </si>
  <si>
    <t xml:space="preserve">                    Вывоз ТБО  (211чел *0,1м3 * 230руб *12мес.)</t>
  </si>
  <si>
    <r>
      <t>февраль:</t>
    </r>
    <r>
      <rPr>
        <sz val="9"/>
        <rFont val="Arial"/>
        <family val="2"/>
      </rPr>
      <t xml:space="preserve"> Снятие размеров стекла и замена в оконной раме в 4подъезде.</t>
    </r>
  </si>
  <si>
    <r>
      <t>март:</t>
    </r>
    <r>
      <rPr>
        <sz val="9"/>
        <rFont val="Arial"/>
        <family val="2"/>
      </rPr>
      <t xml:space="preserve"> Ремонт кровли над входом в подвал 3го подъезда.</t>
    </r>
  </si>
  <si>
    <r>
      <t>июль:</t>
    </r>
    <r>
      <rPr>
        <sz val="9"/>
        <rFont val="Arial"/>
        <family val="2"/>
      </rPr>
      <t xml:space="preserve"> Работы к подготовке праздника:Изготовление сцены.Погрузка и выгрузка скамеек, столов.Уст-ка досок на вешалах.Выдана краска домкому.Уборка мусора -тракт. телега (1712руб).Переезд до нефтебазы погрузка колес и выгрузка на придомовой территории.</t>
    </r>
  </si>
  <si>
    <t>Ремонт оконных рам,смена навесов,шпингалетов и ручек,4 подъезд 2 и 4 этаж.</t>
  </si>
  <si>
    <r>
      <t>октябрь:</t>
    </r>
    <r>
      <rPr>
        <sz val="9"/>
        <rFont val="Arial"/>
        <family val="2"/>
      </rPr>
      <t>сч.ф.№1620 "АВС"Тракторная телега (2рейса * 1600руб).Уборка мусора с подвала и уборка распилин. дерева с придомовой территор.</t>
    </r>
  </si>
  <si>
    <r>
      <t>октябрь:</t>
    </r>
    <r>
      <rPr>
        <sz val="9"/>
        <rFont val="Arial"/>
        <family val="2"/>
      </rPr>
      <t xml:space="preserve"> Распиловка дерева и погрузка на трактор.телегу.Ремонт кровли над входом в подвал(смена стропил из бруса,смена сплош.обреш.,снятие и уст-ка оцинк.железа.Кирп.кладка стен у входа в подвал.Смена почтовых ящиков 1подъезд.Ремонт дверей в подвал 1подъезд.Погрузка и перевозка колес 1 и 6подъезд(по заявл.домкома)</t>
    </r>
  </si>
  <si>
    <r>
      <t>ноябрь:</t>
    </r>
    <r>
      <rPr>
        <sz val="9"/>
        <rFont val="Arial"/>
        <family val="2"/>
      </rPr>
      <t xml:space="preserve"> Погрузка и перевозка колес на придомовой территории (по заяв.домкома)</t>
    </r>
  </si>
  <si>
    <r>
      <t>декабрь:</t>
    </r>
    <r>
      <rPr>
        <sz val="9"/>
        <rFont val="Arial"/>
        <family val="2"/>
      </rPr>
      <t xml:space="preserve"> Замер и замена стекла в оконной раме 6подъезд 3этаж.Уст-ка елки на дворовой террит.дома</t>
    </r>
  </si>
  <si>
    <t>Разница по воде за 2010г сумму 100305,27руб. по решению собрания собственников жилья поставить на затраты дома.</t>
  </si>
  <si>
    <t>16.</t>
  </si>
  <si>
    <r>
      <t xml:space="preserve">июль: </t>
    </r>
    <r>
      <rPr>
        <sz val="9"/>
        <rFont val="Arial"/>
        <family val="2"/>
      </rPr>
      <t>Товарные чеки на приобретение подарочных наборов,наборы кондитерские,грамоты для проведения праздника "Юбилей жилого дома" 35лет.</t>
    </r>
  </si>
  <si>
    <t xml:space="preserve">           МУП "Водоканал" - предъявлено по цене( 20,80руб+38,07руб ) за        6340м3</t>
  </si>
  <si>
    <t xml:space="preserve">           Начисленно за водоснабжение и водоотведение жильцам за 2011г      5851,3м3</t>
  </si>
  <si>
    <t xml:space="preserve">           итого:                                        6340м3 - 5851,3м3 =  488,7м3</t>
  </si>
  <si>
    <t>ул.Виноградова, дом 70.</t>
  </si>
  <si>
    <t xml:space="preserve">                                                            Отопление</t>
  </si>
  <si>
    <t xml:space="preserve">                    Профилактическая дератизация</t>
  </si>
  <si>
    <t xml:space="preserve">                   Содержание дворовой территории</t>
  </si>
  <si>
    <t xml:space="preserve">                   Освещение мест общего пользования</t>
  </si>
  <si>
    <t xml:space="preserve">                   Вывоз ТБО  (153чел *0,1м3 * 230руб *12мес.)</t>
  </si>
  <si>
    <r>
      <t xml:space="preserve">                         ООО"Вега": </t>
    </r>
    <r>
      <rPr>
        <sz val="9"/>
        <rFont val="Arial"/>
        <family val="2"/>
      </rPr>
      <t>Уст-ка доводчика №3 (морозостойкий),блок питания подъезд 4.</t>
    </r>
  </si>
  <si>
    <r>
      <t xml:space="preserve">                    ВДПО:</t>
    </r>
    <r>
      <rPr>
        <sz val="10"/>
        <rFont val="Arial"/>
        <family val="2"/>
      </rPr>
      <t xml:space="preserve"> Проверка дымовых и вентиляц.каналов.</t>
    </r>
  </si>
  <si>
    <r>
      <t>апрель,май:</t>
    </r>
    <r>
      <rPr>
        <sz val="9"/>
        <rFont val="Arial"/>
        <family val="2"/>
      </rPr>
      <t xml:space="preserve"> Ремонт шиферной кровли отдельн.местами (кв.34)</t>
    </r>
  </si>
  <si>
    <t>Разница по воде за 2010г сумму 62001руб. по решению собрания собственников от 20.06.2011г</t>
  </si>
  <si>
    <t>Разница по воде и канализации за 2009г сумму 264166,66руб. по решению собрания собственников от сентября 2011г</t>
  </si>
  <si>
    <t>Остаток денежных средств ( с учетом задолженности) на 01.01.2012г.              ( стр.2 - стр.5)</t>
  </si>
  <si>
    <t xml:space="preserve">           МУП "Водоканал" - предъявлено по цене( 20,80руб+38,07руб ) за        4647м3</t>
  </si>
  <si>
    <t xml:space="preserve">           Начисленно за водоснабжение и водоотведение жильцам за 2011г      4183,6м3</t>
  </si>
  <si>
    <t xml:space="preserve">           итого:                                        4647м3 - 4183,6м3 =  463,4м3</t>
  </si>
  <si>
    <t>ул. Водников, дом 1.</t>
  </si>
  <si>
    <t xml:space="preserve">                                           водоотведение</t>
  </si>
  <si>
    <t xml:space="preserve">                                                             водоснабжение</t>
  </si>
  <si>
    <r>
      <t>январь:</t>
    </r>
    <r>
      <rPr>
        <sz val="9"/>
        <rFont val="Arial"/>
        <family val="2"/>
      </rPr>
      <t xml:space="preserve"> Очистка крыши пристроя от снега;очистка двора от сброшенного снега.</t>
    </r>
  </si>
  <si>
    <r>
      <t>март:</t>
    </r>
    <r>
      <rPr>
        <sz val="9"/>
        <rFont val="Arial"/>
        <family val="2"/>
      </rPr>
      <t xml:space="preserve"> Снятие наледи с кровли.Очистка от наледи газопровод.труб.</t>
    </r>
  </si>
  <si>
    <r>
      <t>июнь:</t>
    </r>
    <r>
      <rPr>
        <sz val="9"/>
        <rFont val="Arial"/>
        <family val="2"/>
      </rPr>
      <t xml:space="preserve"> Обслед.крыльца площ.1под.Смена крыльца площадки,смена отд.досок обшивки стен.</t>
    </r>
  </si>
  <si>
    <r>
      <t>октябрь:</t>
    </r>
    <r>
      <rPr>
        <sz val="9"/>
        <rFont val="Arial"/>
        <family val="2"/>
      </rPr>
      <t xml:space="preserve"> Подвозка ПГС для подсыпки двор.территор.и планировка эксковатором.</t>
    </r>
  </si>
  <si>
    <r>
      <t xml:space="preserve">декабрь:  </t>
    </r>
    <r>
      <rPr>
        <sz val="9"/>
        <rFont val="Arial"/>
        <family val="2"/>
      </rPr>
      <t>Очистка кровли пристроя от снега и наледи</t>
    </r>
  </si>
  <si>
    <t>ул. Водников, дом 3.</t>
  </si>
  <si>
    <r>
      <t>январь:</t>
    </r>
    <r>
      <rPr>
        <sz val="9"/>
        <rFont val="Arial"/>
        <family val="2"/>
      </rPr>
      <t xml:space="preserve"> Очистка крыши у слухового окна от снега.</t>
    </r>
  </si>
  <si>
    <r>
      <t xml:space="preserve">февраль:   </t>
    </r>
    <r>
      <rPr>
        <sz val="9"/>
        <rFont val="Arial"/>
        <family val="2"/>
      </rPr>
      <t>Очистка снежного свеса с кровли  при помощи автовышки(0,5час - 1043руб).</t>
    </r>
  </si>
  <si>
    <r>
      <t>июнь:</t>
    </r>
    <r>
      <rPr>
        <sz val="9"/>
        <rFont val="Arial"/>
        <family val="2"/>
      </rPr>
      <t xml:space="preserve"> Рем.дерев.пола в подъезде со сменой балок.Смена тамбурной перегородки.Смена вертик.и нижнего бруска дверной коробки.На покраску пола и стен на 1этаже и в тамбуре выдана цв.краска 5,6кг.</t>
    </r>
  </si>
  <si>
    <r>
      <t>июль:</t>
    </r>
    <r>
      <rPr>
        <sz val="9"/>
        <rFont val="Arial"/>
        <family val="2"/>
      </rPr>
      <t xml:space="preserve"> Укрепление дерев.лестнич.ограждения во 2м подъезде.</t>
    </r>
  </si>
  <si>
    <t>Выз.кв.2.Засор в трубе канализации.Чистка канализ.труб,смена уч-ка канализ.трубы(4п.м.).Уст-ка ревизии.Устр-во канализац.труб по уровню от дома до септика.</t>
  </si>
  <si>
    <r>
      <t>декабрь:</t>
    </r>
    <r>
      <rPr>
        <sz val="9"/>
        <rFont val="Arial"/>
        <family val="2"/>
      </rPr>
      <t xml:space="preserve"> Смена дерев.площадки перед подъездом №2.</t>
    </r>
  </si>
  <si>
    <t>Остаток денежных средств ( с учетом задолженности) за  2011г.содержание и текущий ремонт       (стр.2.1. -  стр.5.2.)</t>
  </si>
  <si>
    <t>ул.Высотная, дом 12</t>
  </si>
  <si>
    <t xml:space="preserve">                           Освещение мест общего пользования  </t>
  </si>
  <si>
    <t xml:space="preserve">                         Вывоз ТБО  (26чел *0,1м3 * 230руб *12мес.)</t>
  </si>
  <si>
    <r>
      <t>Остаток денежных средств  за 2011г</t>
    </r>
    <r>
      <rPr>
        <sz val="10"/>
        <rFont val="Arial"/>
        <family val="2"/>
      </rPr>
      <t xml:space="preserve">  (стр.2 - стр.4)</t>
    </r>
  </si>
  <si>
    <t>ул.Герцена, дом 40.</t>
  </si>
  <si>
    <t xml:space="preserve">                         Вывоз ТБО  (10чел *0,1м3 * 230руб *11мес.)</t>
  </si>
  <si>
    <r>
      <t>март:</t>
    </r>
    <r>
      <rPr>
        <sz val="9"/>
        <rFont val="Arial"/>
        <family val="2"/>
      </rPr>
      <t xml:space="preserve"> Чистка дымовых труб,печей с удалением сажи.</t>
    </r>
  </si>
  <si>
    <t>ул. Гледенская, дом 13.</t>
  </si>
  <si>
    <t xml:space="preserve">                                           отопление,водоснабжение</t>
  </si>
  <si>
    <t xml:space="preserve">                                                             отопление,водоснабжение</t>
  </si>
  <si>
    <t xml:space="preserve">  в том числе:                     ООО"Электротеплосеть"</t>
  </si>
  <si>
    <r>
      <t xml:space="preserve">                   ООО"ЭТС"</t>
    </r>
    <r>
      <rPr>
        <sz val="9"/>
        <rFont val="Arial"/>
        <family val="2"/>
      </rPr>
      <t xml:space="preserve">Опломбирование электросчетчика.сч.ф.№351 от 31.05.2011г. </t>
    </r>
  </si>
  <si>
    <r>
      <t xml:space="preserve">                         ООО "Вега"январь: </t>
    </r>
    <r>
      <rPr>
        <sz val="9"/>
        <rFont val="Arial"/>
        <family val="2"/>
      </rPr>
      <t>Уст-ка доводчика №3 (морозостойкий). сч.ф.№13</t>
    </r>
  </si>
  <si>
    <r>
      <t>январь:</t>
    </r>
    <r>
      <rPr>
        <sz val="9"/>
        <rFont val="Arial"/>
        <family val="2"/>
      </rPr>
      <t xml:space="preserve"> Изготовление и уст-ка дверного блока.(коробка с полотном,скобян.изделия)</t>
    </r>
  </si>
  <si>
    <r>
      <t>март:</t>
    </r>
    <r>
      <rPr>
        <sz val="9"/>
        <rFont val="Arial"/>
        <family val="2"/>
      </rPr>
      <t xml:space="preserve"> Очистка от снега и наледи кровли при помощи автовышки (0,5час-975руб).</t>
    </r>
  </si>
  <si>
    <r>
      <t>май:</t>
    </r>
    <r>
      <rPr>
        <sz val="9"/>
        <rFont val="Arial"/>
        <family val="2"/>
      </rPr>
      <t xml:space="preserve"> Капит. ремонт электропроводки в местах общ.пользов.сч.ф.№ 246 ООО"РСО-ОКС"</t>
    </r>
  </si>
  <si>
    <r>
      <t>июль:</t>
    </r>
    <r>
      <rPr>
        <sz val="9"/>
        <rFont val="Arial"/>
        <family val="2"/>
      </rPr>
      <t xml:space="preserve"> Окашивание травы на придомовой территории.</t>
    </r>
    <r>
      <rPr>
        <b/>
        <sz val="9"/>
        <rFont val="Arial"/>
        <family val="2"/>
      </rPr>
      <t xml:space="preserve"> </t>
    </r>
  </si>
  <si>
    <t xml:space="preserve">                                    отопление, водоснабжение</t>
  </si>
  <si>
    <t>ул.Гледенская, дом 41</t>
  </si>
  <si>
    <t xml:space="preserve">                         Вывоз ТБО  (22чел *0,1м3 * 230руб *12мес.)</t>
  </si>
  <si>
    <r>
      <t>январь:</t>
    </r>
    <r>
      <rPr>
        <sz val="9"/>
        <rFont val="Arial"/>
        <family val="2"/>
      </rPr>
      <t xml:space="preserve"> Уст-ка оконной створки слухового окна.</t>
    </r>
  </si>
  <si>
    <r>
      <t>июнь:</t>
    </r>
    <r>
      <rPr>
        <sz val="9"/>
        <rFont val="Arial"/>
        <family val="2"/>
      </rPr>
      <t xml:space="preserve"> Косметический ремонт подъезда.  Сч.ф.№351 от 30.09.2011г.  ООО"РСО-ОКС"</t>
    </r>
  </si>
  <si>
    <t>Ремонт шифер.кровли козырька,укрепление конька на кровле.</t>
  </si>
  <si>
    <r>
      <t>июль:</t>
    </r>
    <r>
      <rPr>
        <sz val="9"/>
        <rFont val="Arial"/>
        <family val="2"/>
      </rPr>
      <t xml:space="preserve"> Смена верх.крышки и крышки люка выгреб.ямы.Рем.кирпич.стенки надзем. части в/ямы.Навешив. почтов. ящ.Зашив. щелей между рейкой боков. стенок слух.окна с крыши дома.</t>
    </r>
  </si>
  <si>
    <r>
      <t xml:space="preserve">август: </t>
    </r>
    <r>
      <rPr>
        <sz val="9"/>
        <rFont val="Arial"/>
        <family val="2"/>
      </rPr>
      <t>Большой ремонт голландской печи кв.8 с удалением завалов и чисткой дымовых труб</t>
    </r>
  </si>
  <si>
    <t>ул. Гледенская, дом 51.</t>
  </si>
  <si>
    <t xml:space="preserve">                                           водоснабжение,водоотведение</t>
  </si>
  <si>
    <t xml:space="preserve">                                                             водоснабжение,водоотведение</t>
  </si>
  <si>
    <r>
      <t xml:space="preserve">                           ООО"Вега": </t>
    </r>
    <r>
      <rPr>
        <sz val="9"/>
        <rFont val="Arial"/>
        <family val="2"/>
      </rPr>
      <t>Уст-ка метал.вход.двери 1шт.подъезд 2. С уст-кой доводчика.</t>
    </r>
  </si>
  <si>
    <t xml:space="preserve">                    Вывоз ТБО  (43чел *0,1м3 * 230руб *12мес.)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</si>
</sst>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7">
    <font>
      <sz val="10"/>
      <name val="Arial Cyr"/>
      <family val="0"/>
    </font>
    <font>
      <b/>
      <sz val="11"/>
      <name val="Arial Cyr"/>
      <family val="0"/>
    </font>
    <font>
      <b/>
      <sz val="1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i/>
      <u val="single"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4"/>
      <color indexed="10"/>
      <name val="Arial"/>
      <family val="2"/>
    </font>
    <font>
      <sz val="11"/>
      <name val="Arial"/>
      <family val="2"/>
    </font>
    <font>
      <i/>
      <u val="single"/>
      <sz val="14"/>
      <name val="Arial"/>
      <family val="2"/>
    </font>
    <font>
      <b/>
      <u val="single"/>
      <sz val="14"/>
      <name val="Arial"/>
      <family val="2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2"/>
      <name val="Arial"/>
      <family val="2"/>
    </font>
    <font>
      <sz val="14"/>
      <name val="Arial"/>
      <family val="2"/>
    </font>
    <font>
      <b/>
      <i/>
      <u val="single"/>
      <sz val="1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0" fillId="0" borderId="1" xfId="0" applyBorder="1" applyAlignment="1">
      <alignment/>
    </xf>
    <xf numFmtId="0" fontId="8" fillId="0" borderId="2" xfId="0" applyFont="1" applyBorder="1" applyAlignment="1">
      <alignment/>
    </xf>
    <xf numFmtId="2" fontId="8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/>
    </xf>
    <xf numFmtId="2" fontId="5" fillId="0" borderId="1" xfId="0" applyNumberFormat="1" applyFont="1" applyBorder="1" applyAlignment="1">
      <alignment horizontal="center"/>
    </xf>
    <xf numFmtId="2" fontId="6" fillId="0" borderId="0" xfId="0" applyNumberFormat="1" applyFont="1" applyAlignment="1">
      <alignment/>
    </xf>
    <xf numFmtId="0" fontId="6" fillId="0" borderId="2" xfId="0" applyFont="1" applyBorder="1" applyAlignment="1">
      <alignment/>
    </xf>
    <xf numFmtId="0" fontId="9" fillId="0" borderId="2" xfId="0" applyFont="1" applyFill="1" applyBorder="1" applyAlignment="1">
      <alignment/>
    </xf>
    <xf numFmtId="2" fontId="9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0" fillId="0" borderId="2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2" fontId="8" fillId="0" borderId="1" xfId="0" applyNumberFormat="1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left"/>
    </xf>
    <xf numFmtId="2" fontId="3" fillId="0" borderId="1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6" fontId="0" fillId="0" borderId="1" xfId="0" applyNumberFormat="1" applyBorder="1" applyAlignment="1">
      <alignment horizontal="center"/>
    </xf>
    <xf numFmtId="0" fontId="5" fillId="0" borderId="3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2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/>
    </xf>
    <xf numFmtId="0" fontId="12" fillId="0" borderId="4" xfId="0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12" fillId="0" borderId="1" xfId="0" applyFont="1" applyFill="1" applyBorder="1" applyAlignment="1">
      <alignment wrapText="1"/>
    </xf>
    <xf numFmtId="2" fontId="6" fillId="2" borderId="1" xfId="0" applyNumberFormat="1" applyFont="1" applyFill="1" applyBorder="1" applyAlignment="1">
      <alignment horizontal="center"/>
    </xf>
    <xf numFmtId="0" fontId="12" fillId="2" borderId="5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1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2" fontId="3" fillId="2" borderId="1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wrapText="1"/>
    </xf>
    <xf numFmtId="2" fontId="3" fillId="2" borderId="6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2" fontId="3" fillId="2" borderId="7" xfId="0" applyNumberFormat="1" applyFont="1" applyFill="1" applyBorder="1" applyAlignment="1">
      <alignment horizontal="center"/>
    </xf>
    <xf numFmtId="0" fontId="3" fillId="0" borderId="2" xfId="0" applyFont="1" applyBorder="1" applyAlignment="1">
      <alignment/>
    </xf>
    <xf numFmtId="164" fontId="3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5" fillId="0" borderId="2" xfId="0" applyFont="1" applyBorder="1" applyAlignment="1">
      <alignment/>
    </xf>
    <xf numFmtId="2" fontId="2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10" fillId="0" borderId="2" xfId="0" applyFont="1" applyBorder="1" applyAlignment="1">
      <alignment/>
    </xf>
    <xf numFmtId="2" fontId="10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/>
    </xf>
    <xf numFmtId="2" fontId="8" fillId="0" borderId="0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2" fontId="3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/>
    </xf>
    <xf numFmtId="2" fontId="3" fillId="2" borderId="4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/>
    </xf>
    <xf numFmtId="0" fontId="10" fillId="0" borderId="1" xfId="0" applyFont="1" applyBorder="1" applyAlignment="1">
      <alignment horizontal="center"/>
    </xf>
    <xf numFmtId="2" fontId="0" fillId="0" borderId="0" xfId="0" applyNumberFormat="1" applyAlignment="1">
      <alignment/>
    </xf>
    <xf numFmtId="0" fontId="9" fillId="0" borderId="1" xfId="0" applyFont="1" applyFill="1" applyBorder="1" applyAlignment="1">
      <alignment/>
    </xf>
    <xf numFmtId="0" fontId="12" fillId="2" borderId="1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2" fillId="0" borderId="4" xfId="0" applyFont="1" applyFill="1" applyBorder="1" applyAlignment="1">
      <alignment wrapText="1"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0" fillId="0" borderId="3" xfId="0" applyFont="1" applyFill="1" applyBorder="1" applyAlignment="1">
      <alignment horizont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0" fontId="3" fillId="0" borderId="3" xfId="0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/>
    </xf>
    <xf numFmtId="0" fontId="12" fillId="0" borderId="4" xfId="0" applyFont="1" applyBorder="1" applyAlignment="1">
      <alignment wrapText="1"/>
    </xf>
    <xf numFmtId="2" fontId="5" fillId="2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/>
    </xf>
    <xf numFmtId="0" fontId="12" fillId="0" borderId="1" xfId="0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/>
    </xf>
    <xf numFmtId="2" fontId="3" fillId="0" borderId="1" xfId="0" applyNumberFormat="1" applyFont="1" applyBorder="1" applyAlignment="1">
      <alignment horizontal="center"/>
    </xf>
    <xf numFmtId="2" fontId="6" fillId="2" borderId="5" xfId="0" applyNumberFormat="1" applyFont="1" applyFill="1" applyBorder="1" applyAlignment="1">
      <alignment horizontal="center"/>
    </xf>
    <xf numFmtId="2" fontId="6" fillId="2" borderId="5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2" fontId="2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5" fillId="0" borderId="5" xfId="0" applyFont="1" applyBorder="1" applyAlignment="1">
      <alignment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0" fontId="5" fillId="0" borderId="4" xfId="0" applyFont="1" applyFill="1" applyBorder="1" applyAlignment="1">
      <alignment wrapText="1"/>
    </xf>
    <xf numFmtId="0" fontId="5" fillId="0" borderId="4" xfId="0" applyFont="1" applyBorder="1" applyAlignment="1">
      <alignment wrapText="1"/>
    </xf>
    <xf numFmtId="0" fontId="3" fillId="0" borderId="0" xfId="0" applyFont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0" fontId="12" fillId="0" borderId="5" xfId="0" applyFont="1" applyBorder="1" applyAlignment="1">
      <alignment vertical="center" wrapText="1"/>
    </xf>
    <xf numFmtId="2" fontId="6" fillId="2" borderId="5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13" fillId="0" borderId="1" xfId="0" applyFont="1" applyFill="1" applyBorder="1" applyAlignment="1">
      <alignment wrapText="1"/>
    </xf>
    <xf numFmtId="0" fontId="13" fillId="0" borderId="2" xfId="0" applyFont="1" applyFill="1" applyBorder="1" applyAlignment="1">
      <alignment wrapText="1"/>
    </xf>
    <xf numFmtId="2" fontId="3" fillId="2" borderId="9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wrapText="1"/>
    </xf>
    <xf numFmtId="0" fontId="0" fillId="0" borderId="10" xfId="0" applyBorder="1" applyAlignment="1">
      <alignment horizontal="center"/>
    </xf>
    <xf numFmtId="2" fontId="8" fillId="0" borderId="3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2" fontId="8" fillId="0" borderId="12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 wrapText="1"/>
    </xf>
    <xf numFmtId="0" fontId="13" fillId="0" borderId="4" xfId="0" applyFont="1" applyFill="1" applyBorder="1" applyAlignment="1">
      <alignment/>
    </xf>
    <xf numFmtId="0" fontId="19" fillId="0" borderId="4" xfId="0" applyFont="1" applyFill="1" applyBorder="1" applyAlignment="1">
      <alignment wrapText="1"/>
    </xf>
    <xf numFmtId="2" fontId="0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center" wrapText="1"/>
    </xf>
    <xf numFmtId="0" fontId="13" fillId="0" borderId="1" xfId="0" applyFont="1" applyBorder="1" applyAlignment="1">
      <alignment/>
    </xf>
    <xf numFmtId="0" fontId="10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left" wrapText="1"/>
    </xf>
    <xf numFmtId="0" fontId="12" fillId="2" borderId="2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12" fillId="0" borderId="4" xfId="0" applyFont="1" applyBorder="1" applyAlignment="1">
      <alignment horizontal="left" vertical="distributed" wrapText="1"/>
    </xf>
    <xf numFmtId="0" fontId="13" fillId="0" borderId="1" xfId="0" applyFont="1" applyFill="1" applyBorder="1" applyAlignment="1">
      <alignment/>
    </xf>
    <xf numFmtId="0" fontId="2" fillId="0" borderId="5" xfId="0" applyFont="1" applyBorder="1" applyAlignment="1">
      <alignment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2" xfId="0" applyFont="1" applyBorder="1" applyAlignment="1">
      <alignment/>
    </xf>
    <xf numFmtId="2" fontId="7" fillId="0" borderId="1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wrapText="1"/>
    </xf>
    <xf numFmtId="0" fontId="5" fillId="0" borderId="2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6" fillId="0" borderId="4" xfId="0" applyFont="1" applyFill="1" applyBorder="1" applyAlignment="1">
      <alignment horizontal="center" wrapText="1"/>
    </xf>
    <xf numFmtId="0" fontId="0" fillId="0" borderId="4" xfId="0" applyBorder="1" applyAlignment="1">
      <alignment/>
    </xf>
    <xf numFmtId="0" fontId="12" fillId="0" borderId="0" xfId="0" applyFont="1" applyFill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12" fillId="0" borderId="5" xfId="0" applyFont="1" applyFill="1" applyBorder="1" applyAlignment="1">
      <alignment/>
    </xf>
    <xf numFmtId="2" fontId="5" fillId="0" borderId="7" xfId="0" applyNumberFormat="1" applyFont="1" applyFill="1" applyBorder="1" applyAlignment="1">
      <alignment horizontal="center"/>
    </xf>
    <xf numFmtId="2" fontId="6" fillId="2" borderId="4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2" fontId="6" fillId="0" borderId="5" xfId="0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/>
    </xf>
    <xf numFmtId="2" fontId="5" fillId="0" borderId="4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13" fillId="0" borderId="4" xfId="0" applyFont="1" applyBorder="1" applyAlignment="1">
      <alignment horizontal="left" vertical="distributed" wrapText="1"/>
    </xf>
    <xf numFmtId="0" fontId="13" fillId="0" borderId="3" xfId="0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2" xfId="0" applyFont="1" applyFill="1" applyBorder="1" applyAlignment="1">
      <alignment/>
    </xf>
    <xf numFmtId="2" fontId="2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wrapText="1"/>
    </xf>
    <xf numFmtId="0" fontId="5" fillId="0" borderId="1" xfId="0" applyFont="1" applyFill="1" applyBorder="1" applyAlignment="1">
      <alignment/>
    </xf>
    <xf numFmtId="2" fontId="5" fillId="0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2" fontId="2" fillId="2" borderId="8" xfId="0" applyNumberFormat="1" applyFont="1" applyFill="1" applyBorder="1" applyAlignment="1">
      <alignment horizontal="center"/>
    </xf>
    <xf numFmtId="0" fontId="3" fillId="0" borderId="14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16" fontId="0" fillId="0" borderId="4" xfId="0" applyNumberFormat="1" applyBorder="1" applyAlignment="1">
      <alignment horizontal="center" wrapText="1"/>
    </xf>
    <xf numFmtId="2" fontId="5" fillId="0" borderId="5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left" wrapText="1"/>
    </xf>
    <xf numFmtId="0" fontId="12" fillId="0" borderId="3" xfId="0" applyFont="1" applyFill="1" applyBorder="1" applyAlignment="1">
      <alignment wrapText="1"/>
    </xf>
    <xf numFmtId="2" fontId="5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6" fillId="0" borderId="4" xfId="0" applyNumberFormat="1" applyFont="1" applyFill="1" applyBorder="1" applyAlignment="1">
      <alignment horizontal="center"/>
    </xf>
    <xf numFmtId="2" fontId="11" fillId="0" borderId="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2" fontId="3" fillId="2" borderId="8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24" fillId="0" borderId="0" xfId="0" applyFont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/>
    </xf>
    <xf numFmtId="2" fontId="6" fillId="0" borderId="8" xfId="0" applyNumberFormat="1" applyFont="1" applyFill="1" applyBorder="1" applyAlignment="1">
      <alignment horizontal="center"/>
    </xf>
    <xf numFmtId="16" fontId="0" fillId="0" borderId="1" xfId="0" applyNumberFormat="1" applyBorder="1" applyAlignment="1">
      <alignment/>
    </xf>
    <xf numFmtId="2" fontId="3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12" fillId="0" borderId="1" xfId="0" applyFont="1" applyFill="1" applyBorder="1" applyAlignment="1">
      <alignment/>
    </xf>
    <xf numFmtId="0" fontId="2" fillId="0" borderId="4" xfId="0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center" wrapText="1"/>
    </xf>
    <xf numFmtId="0" fontId="12" fillId="0" borderId="4" xfId="0" applyFont="1" applyFill="1" applyBorder="1" applyAlignment="1">
      <alignment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/>
    </xf>
    <xf numFmtId="2" fontId="24" fillId="0" borderId="0" xfId="0" applyNumberFormat="1" applyFont="1" applyAlignment="1">
      <alignment/>
    </xf>
    <xf numFmtId="2" fontId="3" fillId="2" borderId="5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26" fillId="0" borderId="1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12" fillId="2" borderId="1" xfId="0" applyFont="1" applyFill="1" applyBorder="1" applyAlignment="1">
      <alignment wrapText="1"/>
    </xf>
    <xf numFmtId="0" fontId="3" fillId="0" borderId="2" xfId="0" applyFont="1" applyFill="1" applyBorder="1" applyAlignment="1">
      <alignment/>
    </xf>
    <xf numFmtId="0" fontId="2" fillId="0" borderId="0" xfId="0" applyFont="1" applyBorder="1" applyAlignment="1">
      <alignment/>
    </xf>
    <xf numFmtId="164" fontId="3" fillId="0" borderId="1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79"/>
  <sheetViews>
    <sheetView tabSelected="1" workbookViewId="0" topLeftCell="A4274">
      <selection activeCell="B4252" sqref="B4252:D4252"/>
    </sheetView>
  </sheetViews>
  <sheetFormatPr defaultColWidth="9.00390625" defaultRowHeight="12.75"/>
  <cols>
    <col min="1" max="1" width="4.625" style="0" customWidth="1"/>
    <col min="2" max="2" width="80.625" style="0" customWidth="1"/>
    <col min="3" max="3" width="16.25390625" style="0" customWidth="1"/>
  </cols>
  <sheetData>
    <row r="1" spans="2:4" ht="15">
      <c r="B1" s="196" t="s">
        <v>609</v>
      </c>
      <c r="C1" s="196"/>
      <c r="D1" s="196"/>
    </row>
    <row r="2" spans="2:4" ht="15">
      <c r="B2" s="197" t="s">
        <v>610</v>
      </c>
      <c r="C2" s="197"/>
      <c r="D2" s="1"/>
    </row>
    <row r="3" spans="2:4" ht="18.75">
      <c r="B3" s="198" t="s">
        <v>611</v>
      </c>
      <c r="C3" s="198"/>
      <c r="D3" s="198"/>
    </row>
    <row r="4" spans="2:4" ht="15.75">
      <c r="B4" s="199" t="s">
        <v>612</v>
      </c>
      <c r="C4" s="199"/>
      <c r="D4" s="199"/>
    </row>
    <row r="5" spans="2:4" ht="12.75">
      <c r="B5" s="3"/>
      <c r="C5" s="4"/>
      <c r="D5" s="5"/>
    </row>
    <row r="6" spans="2:4" ht="14.25">
      <c r="B6" s="6"/>
      <c r="C6" s="7"/>
      <c r="D6" s="5"/>
    </row>
    <row r="7" spans="1:4" ht="15">
      <c r="A7" s="8"/>
      <c r="B7" s="9" t="s">
        <v>613</v>
      </c>
      <c r="C7" s="10">
        <v>328.1</v>
      </c>
      <c r="D7" s="5"/>
    </row>
    <row r="8" spans="1:4" ht="12.75">
      <c r="A8" s="8"/>
      <c r="B8" s="11" t="s">
        <v>614</v>
      </c>
      <c r="C8" s="12">
        <v>3.74</v>
      </c>
      <c r="D8" s="13"/>
    </row>
    <row r="9" spans="1:4" ht="12.75">
      <c r="A9" s="8"/>
      <c r="B9" s="14" t="s">
        <v>615</v>
      </c>
      <c r="C9" s="12">
        <v>6.42</v>
      </c>
      <c r="D9" s="13"/>
    </row>
    <row r="10" spans="1:4" ht="18.75">
      <c r="A10" s="8"/>
      <c r="B10" s="15" t="s">
        <v>616</v>
      </c>
      <c r="C10" s="16">
        <v>19048.8</v>
      </c>
      <c r="D10" s="13"/>
    </row>
    <row r="11" spans="1:4" ht="18.75">
      <c r="A11" s="17">
        <v>1</v>
      </c>
      <c r="B11" s="18" t="s">
        <v>617</v>
      </c>
      <c r="C11" s="16">
        <f>C12+C13</f>
        <v>47122.19</v>
      </c>
      <c r="D11" s="5"/>
    </row>
    <row r="12" spans="1:4" ht="15">
      <c r="A12" s="17"/>
      <c r="B12" s="19" t="s">
        <v>618</v>
      </c>
      <c r="C12" s="20">
        <f>14217.36+24402.46</f>
        <v>38619.82</v>
      </c>
      <c r="D12" s="5"/>
    </row>
    <row r="13" spans="1:4" ht="15">
      <c r="A13" s="17"/>
      <c r="B13" s="19" t="s">
        <v>619</v>
      </c>
      <c r="C13" s="20">
        <f>3515.2+4987.17</f>
        <v>8502.369999999999</v>
      </c>
      <c r="D13" s="5"/>
    </row>
    <row r="14" spans="1:4" ht="18">
      <c r="A14" s="17">
        <v>2</v>
      </c>
      <c r="B14" s="18" t="s">
        <v>620</v>
      </c>
      <c r="C14" s="21">
        <f>C15+C16+C17</f>
        <v>41097.219999999994</v>
      </c>
      <c r="D14" s="5"/>
    </row>
    <row r="15" spans="1:4" ht="15.75">
      <c r="A15" s="17" t="s">
        <v>621</v>
      </c>
      <c r="B15" s="22" t="s">
        <v>622</v>
      </c>
      <c r="C15" s="23">
        <f>11788.63+20232.64</f>
        <v>32021.269999999997</v>
      </c>
      <c r="D15" s="5"/>
    </row>
    <row r="16" spans="1:4" ht="15.75">
      <c r="A16" s="17" t="s">
        <v>623</v>
      </c>
      <c r="B16" s="19" t="s">
        <v>624</v>
      </c>
      <c r="C16" s="23">
        <f>3529.29+4987.17</f>
        <v>8516.46</v>
      </c>
      <c r="D16" s="5"/>
    </row>
    <row r="17" spans="1:4" ht="15.75" customHeight="1">
      <c r="A17" s="17"/>
      <c r="B17" s="19" t="s">
        <v>525</v>
      </c>
      <c r="C17" s="23">
        <v>559.49</v>
      </c>
      <c r="D17" s="5"/>
    </row>
    <row r="18" spans="1:4" ht="36" customHeight="1">
      <c r="A18" s="17">
        <v>5</v>
      </c>
      <c r="B18" s="24" t="s">
        <v>625</v>
      </c>
      <c r="C18" s="25">
        <f>C19+C21</f>
        <v>54139.223</v>
      </c>
      <c r="D18" s="5"/>
    </row>
    <row r="19" spans="1:4" ht="18.75">
      <c r="A19" s="17"/>
      <c r="B19" s="26" t="s">
        <v>626</v>
      </c>
      <c r="C19" s="27">
        <f>C20</f>
        <v>20015.8</v>
      </c>
      <c r="D19" s="5"/>
    </row>
    <row r="20" spans="1:4" ht="15">
      <c r="A20" s="17" t="s">
        <v>627</v>
      </c>
      <c r="B20" s="28" t="s">
        <v>628</v>
      </c>
      <c r="C20" s="29">
        <f>340*58.87</f>
        <v>20015.8</v>
      </c>
      <c r="D20" s="5"/>
    </row>
    <row r="21" spans="1:4" ht="18.75">
      <c r="A21" s="17" t="s">
        <v>629</v>
      </c>
      <c r="B21" s="26" t="s">
        <v>630</v>
      </c>
      <c r="C21" s="27">
        <f>C22+C23+C24+C25+C26+C27+C28+C29+C30</f>
        <v>34123.423</v>
      </c>
      <c r="D21" s="5"/>
    </row>
    <row r="22" spans="1:4" ht="25.5">
      <c r="A22" s="30" t="s">
        <v>631</v>
      </c>
      <c r="B22" s="31" t="s">
        <v>632</v>
      </c>
      <c r="C22" s="32">
        <v>4402.84</v>
      </c>
      <c r="D22" s="5"/>
    </row>
    <row r="23" spans="1:4" ht="12.75">
      <c r="A23" s="17" t="s">
        <v>633</v>
      </c>
      <c r="B23" s="33" t="s">
        <v>634</v>
      </c>
      <c r="C23" s="34">
        <v>46.73</v>
      </c>
      <c r="D23" s="5"/>
    </row>
    <row r="24" spans="1:4" ht="12.75">
      <c r="A24" s="17" t="s">
        <v>635</v>
      </c>
      <c r="B24" s="35" t="s">
        <v>636</v>
      </c>
      <c r="C24" s="34"/>
      <c r="D24" s="5"/>
    </row>
    <row r="25" spans="1:4" ht="12.75">
      <c r="A25" s="17" t="s">
        <v>637</v>
      </c>
      <c r="B25" s="36" t="s">
        <v>638</v>
      </c>
      <c r="C25" s="34">
        <v>413.7</v>
      </c>
      <c r="D25" s="5"/>
    </row>
    <row r="26" spans="1:4" ht="12.75">
      <c r="A26" s="30" t="s">
        <v>639</v>
      </c>
      <c r="B26" s="35" t="s">
        <v>640</v>
      </c>
      <c r="C26" s="34">
        <v>5415.39</v>
      </c>
      <c r="D26" s="5"/>
    </row>
    <row r="27" spans="1:4" ht="12.75">
      <c r="A27" s="30" t="s">
        <v>641</v>
      </c>
      <c r="B27" s="33" t="s">
        <v>642</v>
      </c>
      <c r="C27" s="34">
        <f>2.3*230*12</f>
        <v>6348</v>
      </c>
      <c r="D27" s="5"/>
    </row>
    <row r="28" spans="1:3" ht="12.75">
      <c r="A28" s="17" t="s">
        <v>643</v>
      </c>
      <c r="B28" s="37" t="s">
        <v>644</v>
      </c>
      <c r="C28" s="34">
        <v>165</v>
      </c>
    </row>
    <row r="29" spans="1:3" ht="12.75">
      <c r="A29" s="38" t="s">
        <v>645</v>
      </c>
      <c r="B29" s="33" t="s">
        <v>646</v>
      </c>
      <c r="C29" s="34">
        <f>C12*0.15</f>
        <v>5792.973</v>
      </c>
    </row>
    <row r="30" spans="1:3" ht="12.75">
      <c r="A30" s="38" t="s">
        <v>647</v>
      </c>
      <c r="B30" s="33" t="s">
        <v>648</v>
      </c>
      <c r="C30" s="34">
        <v>11538.79</v>
      </c>
    </row>
    <row r="31" spans="1:4" ht="12.75">
      <c r="A31" s="8"/>
      <c r="B31" s="37"/>
      <c r="C31" s="41"/>
      <c r="D31" s="43"/>
    </row>
    <row r="32" spans="1:4" ht="30">
      <c r="A32" s="8"/>
      <c r="B32" s="45" t="s">
        <v>526</v>
      </c>
      <c r="C32" s="46">
        <f>C14-C18</f>
        <v>-13042.003000000004</v>
      </c>
      <c r="D32" s="43"/>
    </row>
    <row r="33" spans="1:4" ht="15.75">
      <c r="A33" s="8"/>
      <c r="B33" s="45" t="s">
        <v>479</v>
      </c>
      <c r="C33" s="46">
        <v>-14198.02</v>
      </c>
      <c r="D33" s="43"/>
    </row>
    <row r="34" spans="1:4" ht="15.75">
      <c r="A34" s="8"/>
      <c r="B34" s="45" t="s">
        <v>652</v>
      </c>
      <c r="C34" s="46">
        <f>C32+C33</f>
        <v>-27240.023000000005</v>
      </c>
      <c r="D34" s="43"/>
    </row>
    <row r="35" spans="1:4" ht="12.75">
      <c r="A35" s="8"/>
      <c r="B35" s="47"/>
      <c r="C35" s="41"/>
      <c r="D35" s="43"/>
    </row>
    <row r="36" spans="1:3" ht="15.75">
      <c r="A36" s="8"/>
      <c r="B36" s="45" t="s">
        <v>653</v>
      </c>
      <c r="C36" s="46">
        <f>C37+C38+C39</f>
        <v>26777.800000000003</v>
      </c>
    </row>
    <row r="37" spans="1:3" ht="15.75">
      <c r="A37" s="8"/>
      <c r="B37" s="45" t="s">
        <v>654</v>
      </c>
      <c r="C37" s="46">
        <v>17347.23</v>
      </c>
    </row>
    <row r="38" spans="1:3" ht="15.75">
      <c r="A38" s="8"/>
      <c r="B38" s="45" t="s">
        <v>655</v>
      </c>
      <c r="C38" s="46">
        <v>8286.03</v>
      </c>
    </row>
    <row r="39" spans="1:3" ht="15.75">
      <c r="A39" s="8"/>
      <c r="B39" s="98" t="s">
        <v>527</v>
      </c>
      <c r="C39" s="99">
        <v>1144.54</v>
      </c>
    </row>
    <row r="40" spans="1:4" ht="15.75">
      <c r="A40" s="8"/>
      <c r="B40" s="45"/>
      <c r="C40" s="46"/>
      <c r="D40" s="49"/>
    </row>
    <row r="41" spans="1:4" ht="30">
      <c r="A41" s="8"/>
      <c r="B41" s="45" t="s">
        <v>755</v>
      </c>
      <c r="C41" s="46"/>
      <c r="D41" s="43"/>
    </row>
    <row r="42" spans="1:4" ht="30">
      <c r="A42" s="8"/>
      <c r="B42" s="45" t="s">
        <v>63</v>
      </c>
      <c r="C42" s="46"/>
      <c r="D42" s="43"/>
    </row>
    <row r="43" spans="1:4" ht="30">
      <c r="A43" s="8"/>
      <c r="B43" s="45" t="s">
        <v>528</v>
      </c>
      <c r="C43" s="46">
        <v>20015.8</v>
      </c>
      <c r="D43" s="43"/>
    </row>
    <row r="44" spans="1:3" ht="30">
      <c r="A44" s="8"/>
      <c r="B44" s="45" t="s">
        <v>529</v>
      </c>
      <c r="C44" s="46">
        <v>8502.01</v>
      </c>
    </row>
    <row r="45" spans="1:3" ht="15.75">
      <c r="A45" s="8"/>
      <c r="B45" s="45" t="s">
        <v>530</v>
      </c>
      <c r="C45" s="46">
        <v>11513.79</v>
      </c>
    </row>
    <row r="46" spans="1:3" ht="15.75">
      <c r="A46" s="8"/>
      <c r="B46" s="45" t="s">
        <v>655</v>
      </c>
      <c r="C46" s="46">
        <v>-8286.03</v>
      </c>
    </row>
    <row r="47" ht="14.25" customHeight="1">
      <c r="B47" t="s">
        <v>755</v>
      </c>
    </row>
    <row r="48" ht="14.25" customHeight="1">
      <c r="B48" t="s">
        <v>63</v>
      </c>
    </row>
    <row r="49" spans="2:3" ht="14.25" customHeight="1">
      <c r="B49" t="s">
        <v>528</v>
      </c>
      <c r="C49" s="113">
        <f>340*58.87</f>
        <v>20015.8</v>
      </c>
    </row>
    <row r="50" spans="2:3" ht="14.25" customHeight="1">
      <c r="B50" t="s">
        <v>529</v>
      </c>
      <c r="C50" s="113">
        <f>144.42*58.87</f>
        <v>8502.005399999998</v>
      </c>
    </row>
    <row r="51" spans="2:3" ht="14.25" customHeight="1">
      <c r="B51" s="114" t="s">
        <v>530</v>
      </c>
      <c r="C51" s="115">
        <f>C49-C50</f>
        <v>11513.794600000001</v>
      </c>
    </row>
    <row r="52" ht="14.25" customHeight="1"/>
    <row r="53" spans="2:4" ht="15">
      <c r="B53" s="196" t="s">
        <v>609</v>
      </c>
      <c r="C53" s="196"/>
      <c r="D53" s="196"/>
    </row>
    <row r="54" spans="2:4" ht="15">
      <c r="B54" s="197" t="s">
        <v>610</v>
      </c>
      <c r="C54" s="197"/>
      <c r="D54" s="1"/>
    </row>
    <row r="55" spans="2:4" ht="18.75">
      <c r="B55" s="198" t="s">
        <v>656</v>
      </c>
      <c r="C55" s="198"/>
      <c r="D55" s="198"/>
    </row>
    <row r="56" spans="2:4" ht="15.75">
      <c r="B56" s="199" t="s">
        <v>612</v>
      </c>
      <c r="C56" s="199"/>
      <c r="D56" s="199"/>
    </row>
    <row r="57" spans="2:4" ht="12.75">
      <c r="B57" s="3"/>
      <c r="C57" s="4"/>
      <c r="D57" s="5"/>
    </row>
    <row r="58" spans="2:4" ht="14.25">
      <c r="B58" s="6"/>
      <c r="C58" s="7"/>
      <c r="D58" s="5"/>
    </row>
    <row r="59" spans="1:4" ht="15">
      <c r="A59" s="8"/>
      <c r="B59" s="9" t="s">
        <v>613</v>
      </c>
      <c r="C59" s="10">
        <v>326</v>
      </c>
      <c r="D59" s="5"/>
    </row>
    <row r="60" spans="1:4" ht="12.75">
      <c r="A60" s="8"/>
      <c r="B60" s="11" t="s">
        <v>614</v>
      </c>
      <c r="C60" s="12">
        <v>3.74</v>
      </c>
      <c r="D60" s="13"/>
    </row>
    <row r="61" spans="1:4" ht="12.75">
      <c r="A61" s="8"/>
      <c r="B61" s="14" t="s">
        <v>615</v>
      </c>
      <c r="C61" s="12">
        <v>6.42</v>
      </c>
      <c r="D61" s="13"/>
    </row>
    <row r="62" spans="1:4" ht="18.75">
      <c r="A62" s="8"/>
      <c r="B62" s="15" t="s">
        <v>616</v>
      </c>
      <c r="C62" s="16">
        <v>24873.02</v>
      </c>
      <c r="D62" s="13"/>
    </row>
    <row r="63" spans="1:4" ht="18.75">
      <c r="A63" s="17">
        <v>1</v>
      </c>
      <c r="B63" s="18" t="s">
        <v>617</v>
      </c>
      <c r="C63" s="16">
        <f>C64+C65</f>
        <v>44287.79</v>
      </c>
      <c r="D63" s="5"/>
    </row>
    <row r="64" spans="1:4" ht="15">
      <c r="A64" s="17"/>
      <c r="B64" s="19" t="s">
        <v>618</v>
      </c>
      <c r="C64" s="20">
        <f>14652.84+25152.84</f>
        <v>39805.68</v>
      </c>
      <c r="D64" s="5"/>
    </row>
    <row r="65" spans="1:4" ht="15">
      <c r="A65" s="17"/>
      <c r="B65" s="19" t="s">
        <v>657</v>
      </c>
      <c r="C65" s="20">
        <v>4482.11</v>
      </c>
      <c r="D65" s="5"/>
    </row>
    <row r="66" spans="1:4" ht="18">
      <c r="A66" s="17">
        <v>2</v>
      </c>
      <c r="B66" s="18" t="s">
        <v>620</v>
      </c>
      <c r="C66" s="21">
        <f>C67+C68</f>
        <v>36529.96</v>
      </c>
      <c r="D66" s="5"/>
    </row>
    <row r="67" spans="1:4" ht="15.75">
      <c r="A67" s="17" t="s">
        <v>621</v>
      </c>
      <c r="B67" s="22" t="s">
        <v>658</v>
      </c>
      <c r="C67" s="23">
        <f>11918.24+20448.67</f>
        <v>32366.909999999996</v>
      </c>
      <c r="D67" s="5"/>
    </row>
    <row r="68" spans="1:4" ht="15.75">
      <c r="A68" s="17" t="s">
        <v>623</v>
      </c>
      <c r="B68" s="19" t="s">
        <v>659</v>
      </c>
      <c r="C68" s="23">
        <v>4163.05</v>
      </c>
      <c r="D68" s="5"/>
    </row>
    <row r="69" spans="1:4" ht="36">
      <c r="A69" s="17">
        <v>5</v>
      </c>
      <c r="B69" s="24" t="s">
        <v>625</v>
      </c>
      <c r="C69" s="25">
        <f>C70+C72</f>
        <v>52188.971999999994</v>
      </c>
      <c r="D69" s="5"/>
    </row>
    <row r="70" spans="1:4" ht="18.75">
      <c r="A70" s="17"/>
      <c r="B70" s="26" t="s">
        <v>626</v>
      </c>
      <c r="C70" s="27">
        <f>C71</f>
        <v>4243.2</v>
      </c>
      <c r="D70" s="5"/>
    </row>
    <row r="71" spans="1:4" ht="15">
      <c r="A71" s="17" t="s">
        <v>627</v>
      </c>
      <c r="B71" s="28" t="s">
        <v>628</v>
      </c>
      <c r="C71" s="29">
        <f>204*20.8</f>
        <v>4243.2</v>
      </c>
      <c r="D71" s="5"/>
    </row>
    <row r="72" spans="1:4" ht="18.75">
      <c r="A72" s="17" t="s">
        <v>629</v>
      </c>
      <c r="B72" s="26" t="s">
        <v>630</v>
      </c>
      <c r="C72" s="27">
        <f>C73+C74+C75+C76+C77+C78+C79+C80+C81</f>
        <v>47945.772</v>
      </c>
      <c r="D72" s="5"/>
    </row>
    <row r="73" spans="1:4" ht="25.5">
      <c r="A73" s="30" t="s">
        <v>631</v>
      </c>
      <c r="B73" s="31" t="s">
        <v>632</v>
      </c>
      <c r="C73" s="32">
        <v>916.4</v>
      </c>
      <c r="D73" s="5"/>
    </row>
    <row r="74" spans="1:4" ht="12.75">
      <c r="A74" s="17" t="s">
        <v>633</v>
      </c>
      <c r="B74" s="33" t="s">
        <v>634</v>
      </c>
      <c r="C74" s="34">
        <v>45.88</v>
      </c>
      <c r="D74" s="5"/>
    </row>
    <row r="75" spans="1:4" ht="12.75">
      <c r="A75" s="17" t="s">
        <v>635</v>
      </c>
      <c r="B75" s="35" t="s">
        <v>636</v>
      </c>
      <c r="C75" s="34"/>
      <c r="D75" s="5"/>
    </row>
    <row r="76" spans="1:4" ht="12.75">
      <c r="A76" s="17"/>
      <c r="B76" s="36" t="s">
        <v>638</v>
      </c>
      <c r="C76" s="34">
        <v>405.51</v>
      </c>
      <c r="D76" s="5"/>
    </row>
    <row r="77" spans="1:4" ht="12.75">
      <c r="A77" s="17" t="s">
        <v>637</v>
      </c>
      <c r="B77" s="35" t="s">
        <v>640</v>
      </c>
      <c r="C77" s="34">
        <v>4991.31</v>
      </c>
      <c r="D77" s="5"/>
    </row>
    <row r="78" spans="1:4" ht="12.75">
      <c r="A78" s="30" t="s">
        <v>639</v>
      </c>
      <c r="B78" s="33" t="s">
        <v>660</v>
      </c>
      <c r="C78" s="34">
        <f>1.7*230*12</f>
        <v>4692</v>
      </c>
      <c r="D78" s="5"/>
    </row>
    <row r="79" spans="1:3" ht="12.75">
      <c r="A79" s="30" t="s">
        <v>641</v>
      </c>
      <c r="B79" s="37" t="s">
        <v>661</v>
      </c>
      <c r="C79" s="34">
        <v>29360</v>
      </c>
    </row>
    <row r="80" spans="1:3" ht="12.75">
      <c r="A80" s="30" t="s">
        <v>643</v>
      </c>
      <c r="B80" s="33" t="s">
        <v>646</v>
      </c>
      <c r="C80" s="34">
        <f>C64*0.15</f>
        <v>5970.852</v>
      </c>
    </row>
    <row r="81" spans="1:3" ht="12.75">
      <c r="A81" s="17" t="s">
        <v>645</v>
      </c>
      <c r="B81" s="33" t="s">
        <v>648</v>
      </c>
      <c r="C81" s="34">
        <f>C83+C84</f>
        <v>1563.82</v>
      </c>
    </row>
    <row r="82" spans="1:3" ht="12.75">
      <c r="A82" s="17"/>
      <c r="B82" s="39" t="s">
        <v>649</v>
      </c>
      <c r="C82" s="34"/>
    </row>
    <row r="83" spans="1:3" ht="12.75">
      <c r="A83" s="17"/>
      <c r="B83" s="40" t="s">
        <v>662</v>
      </c>
      <c r="C83" s="41">
        <v>1235.57</v>
      </c>
    </row>
    <row r="84" spans="1:4" ht="12.75">
      <c r="A84" s="8"/>
      <c r="B84" s="42" t="s">
        <v>663</v>
      </c>
      <c r="C84" s="41">
        <v>328.25</v>
      </c>
      <c r="D84" s="43"/>
    </row>
    <row r="85" spans="1:4" ht="12.75">
      <c r="A85" s="8"/>
      <c r="B85" s="37"/>
      <c r="C85" s="41"/>
      <c r="D85" s="43"/>
    </row>
    <row r="86" spans="1:4" ht="30">
      <c r="A86" s="8"/>
      <c r="B86" s="45" t="s">
        <v>664</v>
      </c>
      <c r="C86" s="46">
        <f>C66-C69</f>
        <v>-15659.011999999995</v>
      </c>
      <c r="D86" s="43"/>
    </row>
    <row r="87" spans="1:4" ht="12.75">
      <c r="A87" s="8"/>
      <c r="B87" s="47"/>
      <c r="C87" s="41"/>
      <c r="D87" s="43"/>
    </row>
    <row r="88" spans="1:4" ht="30">
      <c r="A88" s="8"/>
      <c r="B88" s="45" t="s">
        <v>665</v>
      </c>
      <c r="C88" s="50">
        <f>C67-C72</f>
        <v>-15578.862000000001</v>
      </c>
      <c r="D88" s="48"/>
    </row>
    <row r="89" spans="1:4" ht="15.75">
      <c r="A89" s="8"/>
      <c r="B89" s="45" t="s">
        <v>651</v>
      </c>
      <c r="C89" s="46">
        <v>36163.22</v>
      </c>
      <c r="D89" s="49"/>
    </row>
    <row r="90" spans="1:4" ht="15.75">
      <c r="A90" s="8"/>
      <c r="B90" s="45" t="s">
        <v>652</v>
      </c>
      <c r="C90" s="46">
        <f>SUM(C88:C89)</f>
        <v>20584.358</v>
      </c>
      <c r="D90" s="43"/>
    </row>
    <row r="91" spans="1:4" ht="15.75">
      <c r="A91" s="8"/>
      <c r="B91" s="45"/>
      <c r="C91" s="46"/>
      <c r="D91" s="43"/>
    </row>
    <row r="92" spans="1:3" ht="15.75">
      <c r="A92" s="8"/>
      <c r="B92" s="45" t="s">
        <v>653</v>
      </c>
      <c r="C92" s="46">
        <f>C66-(C62+C63)</f>
        <v>-32630.85</v>
      </c>
    </row>
    <row r="93" spans="1:3" ht="15.75">
      <c r="A93" s="8"/>
      <c r="B93" s="45" t="s">
        <v>654</v>
      </c>
      <c r="C93" s="46">
        <v>-29826.88</v>
      </c>
    </row>
    <row r="94" spans="1:3" ht="15.75">
      <c r="A94" s="8"/>
      <c r="B94" s="45" t="s">
        <v>655</v>
      </c>
      <c r="C94" s="46">
        <v>-2803.97</v>
      </c>
    </row>
    <row r="95" ht="51" customHeight="1"/>
    <row r="96" spans="2:4" ht="15">
      <c r="B96" s="196" t="s">
        <v>609</v>
      </c>
      <c r="C96" s="196"/>
      <c r="D96" s="196"/>
    </row>
    <row r="97" spans="2:4" ht="15">
      <c r="B97" s="197" t="s">
        <v>610</v>
      </c>
      <c r="C97" s="197"/>
      <c r="D97" s="1"/>
    </row>
    <row r="98" spans="2:4" ht="18.75">
      <c r="B98" s="198" t="s">
        <v>666</v>
      </c>
      <c r="C98" s="198"/>
      <c r="D98" s="198"/>
    </row>
    <row r="99" spans="2:4" ht="15.75">
      <c r="B99" s="199" t="s">
        <v>612</v>
      </c>
      <c r="C99" s="199"/>
      <c r="D99" s="199"/>
    </row>
    <row r="100" spans="2:4" ht="12.75">
      <c r="B100" s="3"/>
      <c r="C100" s="4"/>
      <c r="D100" s="5"/>
    </row>
    <row r="101" spans="2:4" ht="14.25">
      <c r="B101" s="6"/>
      <c r="C101" s="7"/>
      <c r="D101" s="5"/>
    </row>
    <row r="102" spans="1:4" ht="15.75">
      <c r="A102" s="8"/>
      <c r="B102" s="51" t="s">
        <v>613</v>
      </c>
      <c r="C102" s="52">
        <v>538.1</v>
      </c>
      <c r="D102" s="5"/>
    </row>
    <row r="103" spans="1:4" ht="15">
      <c r="A103" s="8"/>
      <c r="B103" s="53" t="s">
        <v>667</v>
      </c>
      <c r="C103" s="54">
        <v>3.2</v>
      </c>
      <c r="D103" s="13"/>
    </row>
    <row r="104" spans="1:4" ht="15">
      <c r="A104" s="8"/>
      <c r="B104" s="55" t="s">
        <v>615</v>
      </c>
      <c r="C104" s="56">
        <v>5.49</v>
      </c>
      <c r="D104" s="13"/>
    </row>
    <row r="105" spans="1:4" ht="18.75">
      <c r="A105" s="8"/>
      <c r="B105" s="15" t="s">
        <v>616</v>
      </c>
      <c r="C105" s="57">
        <f>3783.51+6481.38</f>
        <v>10264.89</v>
      </c>
      <c r="D105" s="13"/>
    </row>
    <row r="106" spans="1:4" ht="18">
      <c r="A106" s="17">
        <v>1</v>
      </c>
      <c r="B106" s="18" t="s">
        <v>668</v>
      </c>
      <c r="C106" s="21">
        <f>20684.88+35487.48</f>
        <v>56172.36</v>
      </c>
      <c r="D106" s="5"/>
    </row>
    <row r="107" spans="1:4" ht="18">
      <c r="A107" s="17">
        <v>2</v>
      </c>
      <c r="B107" s="58" t="s">
        <v>669</v>
      </c>
      <c r="C107" s="59">
        <f>(C105+C106)-C109</f>
        <v>51792.9</v>
      </c>
      <c r="D107" s="5"/>
    </row>
    <row r="108" spans="1:4" ht="15">
      <c r="A108" s="17">
        <v>3</v>
      </c>
      <c r="B108" s="19" t="s">
        <v>670</v>
      </c>
      <c r="C108" s="20"/>
      <c r="D108" s="5"/>
    </row>
    <row r="109" spans="1:4" ht="15">
      <c r="A109" s="17"/>
      <c r="B109" s="60" t="s">
        <v>671</v>
      </c>
      <c r="C109" s="20">
        <v>14644.35</v>
      </c>
      <c r="D109" s="5"/>
    </row>
    <row r="110" spans="1:4" ht="15">
      <c r="A110" s="61"/>
      <c r="B110" s="62"/>
      <c r="C110" s="63"/>
      <c r="D110" s="5"/>
    </row>
    <row r="111" spans="1:4" ht="15">
      <c r="A111" s="61"/>
      <c r="B111" s="62"/>
      <c r="C111" s="63"/>
      <c r="D111" s="5"/>
    </row>
    <row r="112" spans="1:4" ht="31.5">
      <c r="A112" s="17">
        <v>4</v>
      </c>
      <c r="B112" s="64" t="s">
        <v>625</v>
      </c>
      <c r="C112" s="65">
        <f>C113+C114+C115+C116+C117+C118</f>
        <v>102247.004</v>
      </c>
      <c r="D112" s="5"/>
    </row>
    <row r="113" spans="1:4" ht="26.25">
      <c r="A113" s="30" t="s">
        <v>672</v>
      </c>
      <c r="B113" s="31" t="s">
        <v>632</v>
      </c>
      <c r="C113" s="66">
        <v>3153.15</v>
      </c>
      <c r="D113" s="5"/>
    </row>
    <row r="114" spans="1:4" ht="15.75">
      <c r="A114" s="17" t="s">
        <v>673</v>
      </c>
      <c r="B114" s="67" t="s">
        <v>674</v>
      </c>
      <c r="C114" s="23">
        <v>76.18</v>
      </c>
      <c r="D114" s="5"/>
    </row>
    <row r="115" spans="1:4" ht="15.75">
      <c r="A115" s="17"/>
      <c r="B115" s="68" t="s">
        <v>675</v>
      </c>
      <c r="C115" s="23">
        <v>405.51</v>
      </c>
      <c r="D115" s="5"/>
    </row>
    <row r="116" spans="1:4" ht="15.75">
      <c r="A116" s="17" t="s">
        <v>676</v>
      </c>
      <c r="B116" s="67" t="s">
        <v>677</v>
      </c>
      <c r="C116" s="69">
        <f>2.1*230*12</f>
        <v>5796</v>
      </c>
      <c r="D116" s="5"/>
    </row>
    <row r="117" spans="1:4" ht="15.75">
      <c r="A117" s="17"/>
      <c r="B117" s="70" t="s">
        <v>678</v>
      </c>
      <c r="C117" s="71">
        <f>C106*0.15</f>
        <v>8425.854</v>
      </c>
      <c r="D117" s="5"/>
    </row>
    <row r="118" spans="1:4" ht="15.75">
      <c r="A118" s="8">
        <v>5</v>
      </c>
      <c r="B118" s="67" t="s">
        <v>679</v>
      </c>
      <c r="C118" s="23">
        <f>C119+C120+C121+C122</f>
        <v>84390.31</v>
      </c>
      <c r="D118" s="5"/>
    </row>
    <row r="119" spans="1:4" ht="12.75">
      <c r="A119" s="8"/>
      <c r="B119" s="40" t="s">
        <v>662</v>
      </c>
      <c r="C119" s="41">
        <v>1470.92</v>
      </c>
      <c r="D119" s="5"/>
    </row>
    <row r="120" spans="1:4" ht="48">
      <c r="A120" s="8"/>
      <c r="B120" s="42" t="s">
        <v>680</v>
      </c>
      <c r="C120" s="72">
        <v>12960.87</v>
      </c>
      <c r="D120" s="5"/>
    </row>
    <row r="121" spans="1:4" ht="24">
      <c r="A121" s="8"/>
      <c r="B121" s="42" t="s">
        <v>681</v>
      </c>
      <c r="C121" s="72">
        <v>9525.95</v>
      </c>
      <c r="D121" s="5"/>
    </row>
    <row r="122" spans="1:4" ht="12.75">
      <c r="A122" s="8"/>
      <c r="B122" s="42" t="s">
        <v>682</v>
      </c>
      <c r="C122" s="72">
        <v>60432.57</v>
      </c>
      <c r="D122" s="5"/>
    </row>
    <row r="123" spans="1:4" ht="12.75">
      <c r="A123" s="8"/>
      <c r="B123" s="42"/>
      <c r="C123" s="72"/>
      <c r="D123" s="5"/>
    </row>
    <row r="124" spans="1:4" ht="12.75">
      <c r="A124" s="8"/>
      <c r="B124" s="42"/>
      <c r="C124" s="72"/>
      <c r="D124" s="5"/>
    </row>
    <row r="125" spans="1:3" ht="18">
      <c r="A125" s="8"/>
      <c r="B125" s="73" t="s">
        <v>683</v>
      </c>
      <c r="C125" s="74">
        <v>46939.32</v>
      </c>
    </row>
    <row r="126" spans="1:4" ht="18">
      <c r="A126" s="8"/>
      <c r="B126" s="73" t="s">
        <v>684</v>
      </c>
      <c r="C126" s="59">
        <f>C107-C112</f>
        <v>-50454.104</v>
      </c>
      <c r="D126" s="75"/>
    </row>
    <row r="127" spans="1:3" ht="18.75">
      <c r="A127" s="8"/>
      <c r="B127" s="76" t="s">
        <v>652</v>
      </c>
      <c r="C127" s="74">
        <f>SUM(C125:C126)</f>
        <v>-3514.7839999999997</v>
      </c>
    </row>
    <row r="128" ht="50.25" customHeight="1"/>
    <row r="129" spans="2:4" ht="15">
      <c r="B129" s="196" t="s">
        <v>609</v>
      </c>
      <c r="C129" s="196"/>
      <c r="D129" s="196"/>
    </row>
    <row r="130" spans="2:4" ht="15">
      <c r="B130" s="197" t="s">
        <v>610</v>
      </c>
      <c r="C130" s="197"/>
      <c r="D130" s="1"/>
    </row>
    <row r="131" spans="2:4" ht="18.75">
      <c r="B131" s="198" t="s">
        <v>685</v>
      </c>
      <c r="C131" s="198"/>
      <c r="D131" s="198"/>
    </row>
    <row r="132" spans="2:4" ht="15.75">
      <c r="B132" s="199" t="s">
        <v>612</v>
      </c>
      <c r="C132" s="199"/>
      <c r="D132" s="199"/>
    </row>
    <row r="133" spans="2:4" ht="12.75">
      <c r="B133" s="3"/>
      <c r="C133" s="4"/>
      <c r="D133" s="5"/>
    </row>
    <row r="134" spans="2:4" ht="14.25">
      <c r="B134" s="6"/>
      <c r="C134" s="7"/>
      <c r="D134" s="5"/>
    </row>
    <row r="135" spans="1:4" ht="15">
      <c r="A135" s="8"/>
      <c r="B135" s="9" t="s">
        <v>613</v>
      </c>
      <c r="C135" s="10">
        <v>334.94</v>
      </c>
      <c r="D135" s="5"/>
    </row>
    <row r="136" spans="1:4" ht="12.75">
      <c r="A136" s="8"/>
      <c r="B136" s="11" t="s">
        <v>614</v>
      </c>
      <c r="C136" s="12">
        <v>3.74</v>
      </c>
      <c r="D136" s="13"/>
    </row>
    <row r="137" spans="1:4" ht="12.75">
      <c r="A137" s="8"/>
      <c r="B137" s="14" t="s">
        <v>615</v>
      </c>
      <c r="C137" s="12">
        <v>6.42</v>
      </c>
      <c r="D137" s="13"/>
    </row>
    <row r="138" spans="1:4" ht="18.75">
      <c r="A138" s="8"/>
      <c r="B138" s="15" t="s">
        <v>616</v>
      </c>
      <c r="C138" s="16">
        <v>2170.25</v>
      </c>
      <c r="D138" s="13"/>
    </row>
    <row r="139" spans="1:4" ht="18.75">
      <c r="A139" s="17">
        <v>1</v>
      </c>
      <c r="B139" s="18" t="s">
        <v>617</v>
      </c>
      <c r="C139" s="16">
        <f>C140+C141</f>
        <v>44660</v>
      </c>
      <c r="D139" s="5"/>
    </row>
    <row r="140" spans="1:4" ht="15">
      <c r="A140" s="17"/>
      <c r="B140" s="19" t="s">
        <v>686</v>
      </c>
      <c r="C140" s="20">
        <f>15035.64+25809.96</f>
        <v>40845.6</v>
      </c>
      <c r="D140" s="5"/>
    </row>
    <row r="141" spans="1:4" ht="15">
      <c r="A141" s="17"/>
      <c r="B141" s="19" t="s">
        <v>657</v>
      </c>
      <c r="C141" s="20">
        <v>3814.4</v>
      </c>
      <c r="D141" s="5"/>
    </row>
    <row r="142" spans="1:4" ht="18">
      <c r="A142" s="17">
        <v>2</v>
      </c>
      <c r="B142" s="18" t="s">
        <v>620</v>
      </c>
      <c r="C142" s="21">
        <f>C143+C144</f>
        <v>41231.01</v>
      </c>
      <c r="D142" s="5"/>
    </row>
    <row r="143" spans="1:4" ht="15.75">
      <c r="A143" s="17" t="s">
        <v>621</v>
      </c>
      <c r="B143" s="19" t="s">
        <v>686</v>
      </c>
      <c r="C143" s="23">
        <f>13836.53+23749.79</f>
        <v>37586.32</v>
      </c>
      <c r="D143" s="5"/>
    </row>
    <row r="144" spans="1:4" ht="15.75">
      <c r="A144" s="17" t="s">
        <v>623</v>
      </c>
      <c r="B144" s="19" t="s">
        <v>657</v>
      </c>
      <c r="C144" s="23">
        <v>3644.69</v>
      </c>
      <c r="D144" s="5"/>
    </row>
    <row r="145" spans="1:4" ht="36">
      <c r="A145" s="17">
        <v>5</v>
      </c>
      <c r="B145" s="24" t="s">
        <v>625</v>
      </c>
      <c r="C145" s="25">
        <f>C146+C148</f>
        <v>38870.67</v>
      </c>
      <c r="D145" s="5"/>
    </row>
    <row r="146" spans="1:4" ht="18.75">
      <c r="A146" s="17"/>
      <c r="B146" s="26" t="s">
        <v>626</v>
      </c>
      <c r="C146" s="27">
        <f>C147</f>
        <v>4763.2</v>
      </c>
      <c r="D146" s="5"/>
    </row>
    <row r="147" spans="1:4" ht="15">
      <c r="A147" s="17" t="s">
        <v>627</v>
      </c>
      <c r="B147" s="28" t="s">
        <v>628</v>
      </c>
      <c r="C147" s="29">
        <f>229*20.8</f>
        <v>4763.2</v>
      </c>
      <c r="D147" s="5"/>
    </row>
    <row r="148" spans="1:4" ht="18.75">
      <c r="A148" s="17" t="s">
        <v>629</v>
      </c>
      <c r="B148" s="26" t="s">
        <v>630</v>
      </c>
      <c r="C148" s="27">
        <f>C149+C150+C151+C152+C153+C154+C155</f>
        <v>34107.47</v>
      </c>
      <c r="D148" s="5"/>
    </row>
    <row r="149" spans="1:4" ht="25.5">
      <c r="A149" s="30" t="s">
        <v>631</v>
      </c>
      <c r="B149" s="31" t="s">
        <v>632</v>
      </c>
      <c r="C149" s="32">
        <v>1521.35</v>
      </c>
      <c r="D149" s="5"/>
    </row>
    <row r="150" spans="1:4" ht="12.75">
      <c r="A150" s="17" t="s">
        <v>633</v>
      </c>
      <c r="B150" s="33" t="s">
        <v>634</v>
      </c>
      <c r="C150" s="34">
        <v>47.29</v>
      </c>
      <c r="D150" s="5"/>
    </row>
    <row r="151" spans="1:4" ht="12.75">
      <c r="A151" s="17" t="s">
        <v>637</v>
      </c>
      <c r="B151" s="35" t="s">
        <v>640</v>
      </c>
      <c r="C151" s="34">
        <v>881.64</v>
      </c>
      <c r="D151" s="5"/>
    </row>
    <row r="152" spans="1:4" ht="12.75">
      <c r="A152" s="30" t="s">
        <v>639</v>
      </c>
      <c r="B152" s="33" t="s">
        <v>687</v>
      </c>
      <c r="C152" s="34">
        <f>1.4*230*12</f>
        <v>3864</v>
      </c>
      <c r="D152" s="5"/>
    </row>
    <row r="153" spans="1:4" ht="12.75">
      <c r="A153" s="30"/>
      <c r="B153" s="37" t="s">
        <v>688</v>
      </c>
      <c r="C153" s="34">
        <v>472.47</v>
      </c>
      <c r="D153" s="5"/>
    </row>
    <row r="154" spans="1:3" ht="12.75">
      <c r="A154" s="30" t="s">
        <v>641</v>
      </c>
      <c r="B154" s="33" t="s">
        <v>646</v>
      </c>
      <c r="C154" s="34">
        <f>C140*0.15</f>
        <v>6126.839999999999</v>
      </c>
    </row>
    <row r="155" spans="1:3" ht="12.75">
      <c r="A155" s="17" t="s">
        <v>643</v>
      </c>
      <c r="B155" s="33" t="s">
        <v>648</v>
      </c>
      <c r="C155" s="34">
        <f>C157+C158+C159+C160+C161+C162</f>
        <v>21193.88</v>
      </c>
    </row>
    <row r="156" spans="1:3" ht="12.75">
      <c r="A156" s="17"/>
      <c r="B156" s="39" t="s">
        <v>649</v>
      </c>
      <c r="C156" s="34"/>
    </row>
    <row r="157" spans="1:3" ht="12.75">
      <c r="A157" s="17"/>
      <c r="B157" s="77" t="s">
        <v>689</v>
      </c>
      <c r="C157" s="78">
        <v>656.19</v>
      </c>
    </row>
    <row r="158" spans="1:4" ht="12.75">
      <c r="A158" s="8"/>
      <c r="B158" s="37" t="s">
        <v>690</v>
      </c>
      <c r="C158" s="78">
        <v>17005.13</v>
      </c>
      <c r="D158" s="43"/>
    </row>
    <row r="159" spans="1:4" ht="24">
      <c r="A159" s="8"/>
      <c r="B159" s="37" t="s">
        <v>691</v>
      </c>
      <c r="C159" s="78">
        <v>333.33</v>
      </c>
      <c r="D159" s="43"/>
    </row>
    <row r="160" spans="1:4" ht="12.75">
      <c r="A160" s="8"/>
      <c r="B160" s="37" t="s">
        <v>692</v>
      </c>
      <c r="C160" s="78">
        <v>212.39</v>
      </c>
      <c r="D160" s="43"/>
    </row>
    <row r="161" spans="1:4" ht="12.75">
      <c r="A161" s="8"/>
      <c r="B161" s="40" t="s">
        <v>693</v>
      </c>
      <c r="C161" s="78">
        <v>473.74</v>
      </c>
      <c r="D161" s="43"/>
    </row>
    <row r="162" spans="1:4" ht="12.75">
      <c r="A162" s="8"/>
      <c r="B162" s="37" t="s">
        <v>694</v>
      </c>
      <c r="C162" s="78">
        <v>2513.1</v>
      </c>
      <c r="D162" s="43"/>
    </row>
    <row r="163" spans="1:4" ht="12.75">
      <c r="A163" s="8"/>
      <c r="B163" s="37"/>
      <c r="C163" s="78"/>
      <c r="D163" s="43"/>
    </row>
    <row r="164" spans="1:4" ht="30">
      <c r="A164" s="8"/>
      <c r="B164" s="45" t="s">
        <v>664</v>
      </c>
      <c r="C164" s="46">
        <f>C142-C145</f>
        <v>2360.340000000004</v>
      </c>
      <c r="D164" s="43"/>
    </row>
    <row r="165" spans="1:4" ht="12.75">
      <c r="A165" s="8"/>
      <c r="B165" s="47"/>
      <c r="C165" s="41"/>
      <c r="D165" s="43"/>
    </row>
    <row r="166" spans="1:4" ht="12.75">
      <c r="A166" s="8"/>
      <c r="B166" s="47"/>
      <c r="C166" s="41"/>
      <c r="D166" s="43"/>
    </row>
    <row r="167" spans="1:4" ht="12.75">
      <c r="A167" s="8"/>
      <c r="B167" s="47"/>
      <c r="C167" s="41"/>
      <c r="D167" s="43"/>
    </row>
    <row r="168" spans="1:4" ht="30">
      <c r="A168" s="8"/>
      <c r="B168" s="45" t="s">
        <v>695</v>
      </c>
      <c r="C168" s="50">
        <f>C143-C148</f>
        <v>3478.8499999999985</v>
      </c>
      <c r="D168" s="48"/>
    </row>
    <row r="169" spans="1:4" ht="15.75">
      <c r="A169" s="8"/>
      <c r="B169" s="45" t="s">
        <v>651</v>
      </c>
      <c r="C169" s="46">
        <v>26446.13</v>
      </c>
      <c r="D169" s="49"/>
    </row>
    <row r="170" spans="1:4" ht="15.75">
      <c r="A170" s="8"/>
      <c r="B170" s="45" t="s">
        <v>652</v>
      </c>
      <c r="C170" s="46">
        <f>SUM(C168:C169)</f>
        <v>29924.98</v>
      </c>
      <c r="D170" s="43"/>
    </row>
    <row r="171" spans="1:4" ht="15.75">
      <c r="A171" s="8"/>
      <c r="B171" s="45"/>
      <c r="C171" s="46"/>
      <c r="D171" s="43"/>
    </row>
    <row r="172" spans="1:3" ht="15.75">
      <c r="A172" s="8"/>
      <c r="B172" s="45" t="s">
        <v>653</v>
      </c>
      <c r="C172" s="46">
        <f>C142-(C138+C139)</f>
        <v>-5599.239999999998</v>
      </c>
    </row>
    <row r="173" spans="1:3" ht="15.75">
      <c r="A173" s="8"/>
      <c r="B173" s="45" t="s">
        <v>654</v>
      </c>
      <c r="C173" s="46">
        <v>-5407.03</v>
      </c>
    </row>
    <row r="174" spans="1:3" ht="15.75">
      <c r="A174" s="8"/>
      <c r="B174" s="45" t="s">
        <v>655</v>
      </c>
      <c r="C174" s="46">
        <v>-192.21</v>
      </c>
    </row>
    <row r="175" ht="50.25" customHeight="1"/>
    <row r="176" spans="2:4" ht="15">
      <c r="B176" s="196" t="s">
        <v>609</v>
      </c>
      <c r="C176" s="196"/>
      <c r="D176" s="196"/>
    </row>
    <row r="177" spans="2:4" ht="15">
      <c r="B177" s="197" t="s">
        <v>610</v>
      </c>
      <c r="C177" s="197"/>
      <c r="D177" s="1"/>
    </row>
    <row r="178" spans="2:4" ht="18.75">
      <c r="B178" s="198" t="s">
        <v>696</v>
      </c>
      <c r="C178" s="198"/>
      <c r="D178" s="198"/>
    </row>
    <row r="179" spans="2:4" ht="15.75">
      <c r="B179" s="199" t="s">
        <v>612</v>
      </c>
      <c r="C179" s="199"/>
      <c r="D179" s="199"/>
    </row>
    <row r="180" spans="2:4" ht="12.75">
      <c r="B180" s="3"/>
      <c r="C180" s="4"/>
      <c r="D180" s="5"/>
    </row>
    <row r="181" spans="1:4" ht="15.75">
      <c r="A181" s="8"/>
      <c r="B181" s="51" t="s">
        <v>613</v>
      </c>
      <c r="C181" s="52">
        <v>326.8</v>
      </c>
      <c r="D181" s="5"/>
    </row>
    <row r="182" spans="1:4" ht="15">
      <c r="A182" s="8"/>
      <c r="B182" s="53" t="s">
        <v>667</v>
      </c>
      <c r="C182" s="54">
        <v>3.2</v>
      </c>
      <c r="D182" s="13"/>
    </row>
    <row r="183" spans="1:4" ht="15">
      <c r="A183" s="8"/>
      <c r="B183" s="55" t="s">
        <v>615</v>
      </c>
      <c r="C183" s="56">
        <v>5.49</v>
      </c>
      <c r="D183" s="13"/>
    </row>
    <row r="184" spans="1:4" ht="18.75">
      <c r="A184" s="8"/>
      <c r="B184" s="15" t="s">
        <v>616</v>
      </c>
      <c r="C184" s="57">
        <f>527.89+904.38</f>
        <v>1432.27</v>
      </c>
      <c r="D184" s="13"/>
    </row>
    <row r="185" spans="1:4" ht="18">
      <c r="A185" s="17">
        <v>1</v>
      </c>
      <c r="B185" s="18" t="s">
        <v>668</v>
      </c>
      <c r="C185" s="21">
        <f>12549.6+21530.16</f>
        <v>34079.76</v>
      </c>
      <c r="D185" s="5"/>
    </row>
    <row r="186" spans="1:4" ht="18">
      <c r="A186" s="17">
        <v>2</v>
      </c>
      <c r="B186" s="58" t="s">
        <v>669</v>
      </c>
      <c r="C186" s="59">
        <f>(C184+C185)-C188</f>
        <v>33857.82</v>
      </c>
      <c r="D186" s="5"/>
    </row>
    <row r="187" spans="1:4" ht="15">
      <c r="A187" s="17">
        <v>3</v>
      </c>
      <c r="B187" s="19" t="s">
        <v>670</v>
      </c>
      <c r="C187" s="20"/>
      <c r="D187" s="5"/>
    </row>
    <row r="188" spans="1:4" ht="15">
      <c r="A188" s="17"/>
      <c r="B188" s="60" t="s">
        <v>671</v>
      </c>
      <c r="C188" s="20">
        <v>1654.21</v>
      </c>
      <c r="D188" s="5"/>
    </row>
    <row r="189" spans="1:4" ht="15">
      <c r="A189" s="61"/>
      <c r="B189" s="62"/>
      <c r="C189" s="63"/>
      <c r="D189" s="5"/>
    </row>
    <row r="190" spans="1:4" ht="15">
      <c r="A190" s="61"/>
      <c r="B190" s="62"/>
      <c r="C190" s="63"/>
      <c r="D190" s="5"/>
    </row>
    <row r="191" spans="1:4" ht="31.5">
      <c r="A191" s="17">
        <v>4</v>
      </c>
      <c r="B191" s="64" t="s">
        <v>625</v>
      </c>
      <c r="C191" s="65">
        <f>C192+C193+C194+C195+C196+C197+C198</f>
        <v>16146.024</v>
      </c>
      <c r="D191" s="5"/>
    </row>
    <row r="192" spans="1:4" ht="26.25">
      <c r="A192" s="30" t="s">
        <v>672</v>
      </c>
      <c r="B192" s="31" t="s">
        <v>632</v>
      </c>
      <c r="C192" s="66">
        <v>1510.07</v>
      </c>
      <c r="D192" s="5"/>
    </row>
    <row r="193" spans="1:4" ht="15.75">
      <c r="A193" s="17" t="s">
        <v>697</v>
      </c>
      <c r="B193" s="79" t="s">
        <v>698</v>
      </c>
      <c r="C193" s="23">
        <v>876.06</v>
      </c>
      <c r="D193" s="5"/>
    </row>
    <row r="194" spans="1:4" ht="15.75">
      <c r="A194" s="17" t="s">
        <v>673</v>
      </c>
      <c r="B194" s="79" t="s">
        <v>699</v>
      </c>
      <c r="C194" s="23">
        <v>23.93</v>
      </c>
      <c r="D194" s="5"/>
    </row>
    <row r="195" spans="1:4" ht="30">
      <c r="A195" s="17"/>
      <c r="B195" s="80" t="s">
        <v>700</v>
      </c>
      <c r="C195" s="23">
        <v>2000</v>
      </c>
      <c r="D195" s="5"/>
    </row>
    <row r="196" spans="1:4" ht="15.75">
      <c r="A196" s="17" t="s">
        <v>676</v>
      </c>
      <c r="B196" s="81" t="s">
        <v>701</v>
      </c>
      <c r="C196" s="69">
        <f>2.4*230*12</f>
        <v>6624</v>
      </c>
      <c r="D196" s="5"/>
    </row>
    <row r="197" spans="1:4" ht="15.75">
      <c r="A197" s="8">
        <v>5</v>
      </c>
      <c r="B197" s="79" t="s">
        <v>702</v>
      </c>
      <c r="C197" s="23">
        <v>0</v>
      </c>
      <c r="D197" s="5"/>
    </row>
    <row r="198" spans="1:4" ht="15.75">
      <c r="A198" s="8">
        <v>6</v>
      </c>
      <c r="B198" s="82" t="s">
        <v>703</v>
      </c>
      <c r="C198" s="71">
        <f>C185*0.15</f>
        <v>5111.964</v>
      </c>
      <c r="D198" s="5"/>
    </row>
    <row r="199" spans="1:4" ht="15.75">
      <c r="A199" s="8"/>
      <c r="B199" s="83"/>
      <c r="C199" s="23"/>
      <c r="D199" s="5"/>
    </row>
    <row r="200" spans="1:3" ht="18">
      <c r="A200" s="8"/>
      <c r="B200" s="73" t="s">
        <v>683</v>
      </c>
      <c r="C200" s="74">
        <v>31395.19</v>
      </c>
    </row>
    <row r="201" spans="1:4" ht="18">
      <c r="A201" s="8"/>
      <c r="B201" s="73" t="s">
        <v>684</v>
      </c>
      <c r="C201" s="59">
        <f>C186-C191</f>
        <v>17711.796000000002</v>
      </c>
      <c r="D201" s="75"/>
    </row>
    <row r="202" spans="1:3" ht="18.75">
      <c r="A202" s="8"/>
      <c r="B202" s="76" t="s">
        <v>652</v>
      </c>
      <c r="C202" s="74">
        <f>SUM(C200:C201)</f>
        <v>49106.986000000004</v>
      </c>
    </row>
    <row r="203" ht="50.25" customHeight="1"/>
    <row r="204" spans="2:4" ht="15">
      <c r="B204" s="196" t="s">
        <v>609</v>
      </c>
      <c r="C204" s="196"/>
      <c r="D204" s="196"/>
    </row>
    <row r="205" spans="2:4" ht="15">
      <c r="B205" s="197" t="s">
        <v>704</v>
      </c>
      <c r="C205" s="197"/>
      <c r="D205" s="1"/>
    </row>
    <row r="206" spans="2:4" ht="18.75">
      <c r="B206" s="198" t="s">
        <v>705</v>
      </c>
      <c r="C206" s="198"/>
      <c r="D206" s="198"/>
    </row>
    <row r="207" spans="2:4" ht="15.75">
      <c r="B207" s="199" t="s">
        <v>612</v>
      </c>
      <c r="C207" s="199"/>
      <c r="D207" s="199"/>
    </row>
    <row r="208" spans="2:4" ht="12.75">
      <c r="B208" s="3"/>
      <c r="C208" s="4"/>
      <c r="D208" s="5"/>
    </row>
    <row r="209" spans="2:4" ht="14.25">
      <c r="B209" s="6"/>
      <c r="C209" s="7"/>
      <c r="D209" s="5"/>
    </row>
    <row r="210" spans="1:4" ht="15">
      <c r="A210" s="8"/>
      <c r="B210" s="9" t="s">
        <v>613</v>
      </c>
      <c r="C210" s="10">
        <v>709.35</v>
      </c>
      <c r="D210" s="5"/>
    </row>
    <row r="211" spans="1:4" ht="12.75">
      <c r="A211" s="8"/>
      <c r="B211" s="11" t="s">
        <v>614</v>
      </c>
      <c r="C211" s="12">
        <v>5.33</v>
      </c>
      <c r="D211" s="13"/>
    </row>
    <row r="212" spans="1:4" ht="12.75">
      <c r="A212" s="8"/>
      <c r="B212" s="14" t="s">
        <v>615</v>
      </c>
      <c r="C212" s="12">
        <v>9.16</v>
      </c>
      <c r="D212" s="13"/>
    </row>
    <row r="213" spans="1:4" ht="18.75">
      <c r="A213" s="8"/>
      <c r="B213" s="15" t="s">
        <v>616</v>
      </c>
      <c r="C213" s="16">
        <v>48958.62</v>
      </c>
      <c r="D213" s="13"/>
    </row>
    <row r="214" spans="1:4" ht="18.75">
      <c r="A214" s="17">
        <v>1</v>
      </c>
      <c r="B214" s="18" t="s">
        <v>617</v>
      </c>
      <c r="C214" s="16">
        <f>C215+C216+C217+C218</f>
        <v>479048.95</v>
      </c>
      <c r="D214" s="5"/>
    </row>
    <row r="215" spans="1:4" ht="15">
      <c r="A215" s="17" t="s">
        <v>706</v>
      </c>
      <c r="B215" s="19" t="s">
        <v>707</v>
      </c>
      <c r="C215" s="20">
        <f>45380.32+77989.28</f>
        <v>123369.6</v>
      </c>
      <c r="D215" s="5"/>
    </row>
    <row r="216" spans="1:4" ht="15">
      <c r="A216" s="17" t="s">
        <v>708</v>
      </c>
      <c r="B216" s="19" t="s">
        <v>709</v>
      </c>
      <c r="C216" s="20">
        <f>22912.33+41936.22</f>
        <v>64848.55</v>
      </c>
      <c r="D216" s="5"/>
    </row>
    <row r="217" spans="1:4" ht="15">
      <c r="A217" s="17"/>
      <c r="B217" s="19" t="s">
        <v>710</v>
      </c>
      <c r="C217" s="20">
        <v>268304.66</v>
      </c>
      <c r="D217" s="5"/>
    </row>
    <row r="218" spans="1:4" ht="15">
      <c r="A218" s="17"/>
      <c r="B218" s="19" t="s">
        <v>711</v>
      </c>
      <c r="C218" s="20">
        <v>22526.14</v>
      </c>
      <c r="D218" s="5"/>
    </row>
    <row r="219" spans="1:4" ht="18">
      <c r="A219" s="17">
        <v>2</v>
      </c>
      <c r="B219" s="18" t="s">
        <v>620</v>
      </c>
      <c r="C219" s="21">
        <f>C220+C221+C222+C223</f>
        <v>482523.8</v>
      </c>
      <c r="D219" s="13"/>
    </row>
    <row r="220" spans="1:4" ht="15.75">
      <c r="A220" s="17" t="s">
        <v>621</v>
      </c>
      <c r="B220" s="22" t="s">
        <v>712</v>
      </c>
      <c r="C220" s="23">
        <f>46804.51+80430.87</f>
        <v>127235.38</v>
      </c>
      <c r="D220" s="13"/>
    </row>
    <row r="221" spans="1:4" ht="15.75">
      <c r="A221" s="17" t="s">
        <v>623</v>
      </c>
      <c r="B221" s="22" t="s">
        <v>619</v>
      </c>
      <c r="C221" s="23">
        <f>22631.8+41578.33</f>
        <v>64210.130000000005</v>
      </c>
      <c r="D221" s="5"/>
    </row>
    <row r="222" spans="1:4" ht="15.75">
      <c r="A222" s="17"/>
      <c r="B222" s="19" t="s">
        <v>710</v>
      </c>
      <c r="C222" s="23">
        <v>268367.04</v>
      </c>
      <c r="D222" s="13"/>
    </row>
    <row r="223" spans="1:4" ht="15.75">
      <c r="A223" s="17"/>
      <c r="B223" s="19" t="s">
        <v>711</v>
      </c>
      <c r="C223" s="23">
        <v>22711.25</v>
      </c>
      <c r="D223" s="13"/>
    </row>
    <row r="224" spans="1:4" ht="18">
      <c r="A224" s="17"/>
      <c r="B224" s="84"/>
      <c r="C224" s="21"/>
      <c r="D224" s="13"/>
    </row>
    <row r="225" spans="1:4" ht="36">
      <c r="A225" s="17">
        <v>5</v>
      </c>
      <c r="B225" s="24" t="s">
        <v>625</v>
      </c>
      <c r="C225" s="85">
        <f>C226+C229</f>
        <v>777805.66</v>
      </c>
      <c r="D225" s="13"/>
    </row>
    <row r="226" spans="1:4" ht="18.75">
      <c r="A226" s="86" t="s">
        <v>627</v>
      </c>
      <c r="B226" s="87" t="s">
        <v>626</v>
      </c>
      <c r="C226" s="27">
        <f>C227+C228</f>
        <v>362861.27</v>
      </c>
      <c r="D226" s="13"/>
    </row>
    <row r="227" spans="1:4" ht="15.75">
      <c r="A227" s="17"/>
      <c r="B227" s="87" t="s">
        <v>713</v>
      </c>
      <c r="C227" s="88">
        <f>1098*58.87</f>
        <v>64639.259999999995</v>
      </c>
      <c r="D227" s="13"/>
    </row>
    <row r="228" spans="1:4" ht="15.75">
      <c r="A228" s="17"/>
      <c r="B228" s="89" t="s">
        <v>714</v>
      </c>
      <c r="C228" s="46">
        <v>298222.01</v>
      </c>
      <c r="D228" s="13"/>
    </row>
    <row r="229" spans="1:4" ht="18.75">
      <c r="A229" s="17" t="s">
        <v>629</v>
      </c>
      <c r="B229" s="87" t="s">
        <v>630</v>
      </c>
      <c r="C229" s="27">
        <f>C230+C231+C232+C233+C234+C235+C236</f>
        <v>414944.39</v>
      </c>
      <c r="D229" s="13"/>
    </row>
    <row r="230" spans="1:4" ht="25.5">
      <c r="A230" s="30" t="s">
        <v>631</v>
      </c>
      <c r="B230" s="31" t="s">
        <v>632</v>
      </c>
      <c r="C230" s="32">
        <v>39282.37</v>
      </c>
      <c r="D230" s="5"/>
    </row>
    <row r="231" spans="1:4" ht="12.75">
      <c r="A231" s="17" t="s">
        <v>633</v>
      </c>
      <c r="B231" s="33" t="s">
        <v>634</v>
      </c>
      <c r="C231" s="34">
        <v>32.85</v>
      </c>
      <c r="D231" s="5"/>
    </row>
    <row r="232" spans="1:4" ht="12.75">
      <c r="A232" s="17" t="s">
        <v>637</v>
      </c>
      <c r="B232" s="35" t="s">
        <v>640</v>
      </c>
      <c r="C232" s="34">
        <v>1958.58</v>
      </c>
      <c r="D232" s="5"/>
    </row>
    <row r="233" spans="1:4" ht="12.75">
      <c r="A233" s="30" t="s">
        <v>639</v>
      </c>
      <c r="B233" s="33" t="s">
        <v>715</v>
      </c>
      <c r="C233" s="34">
        <f>3.2*230*12</f>
        <v>8832</v>
      </c>
      <c r="D233" s="5"/>
    </row>
    <row r="234" spans="1:4" ht="24">
      <c r="A234" s="30" t="s">
        <v>641</v>
      </c>
      <c r="B234" s="90" t="s">
        <v>716</v>
      </c>
      <c r="C234" s="91">
        <f>11221.26+1792</f>
        <v>13013.26</v>
      </c>
      <c r="D234" s="5"/>
    </row>
    <row r="235" spans="1:4" ht="12.75">
      <c r="A235" s="30" t="s">
        <v>647</v>
      </c>
      <c r="B235" s="33" t="s">
        <v>646</v>
      </c>
      <c r="C235" s="91">
        <f>C215*0.15</f>
        <v>18505.44</v>
      </c>
      <c r="D235" s="5"/>
    </row>
    <row r="236" spans="1:4" ht="12.75">
      <c r="A236" s="17" t="s">
        <v>717</v>
      </c>
      <c r="B236" s="33" t="s">
        <v>648</v>
      </c>
      <c r="C236" s="34">
        <f>C238+C239+C240+C241+C242+C243+C244</f>
        <v>333319.89</v>
      </c>
      <c r="D236" s="13"/>
    </row>
    <row r="237" spans="1:4" ht="12.75">
      <c r="A237" s="17"/>
      <c r="B237" s="39" t="s">
        <v>649</v>
      </c>
      <c r="C237" s="34"/>
      <c r="D237" s="13"/>
    </row>
    <row r="238" spans="1:4" ht="36">
      <c r="A238" s="17"/>
      <c r="B238" s="92" t="s">
        <v>718</v>
      </c>
      <c r="C238" s="93">
        <f>7384.21+860.49</f>
        <v>8244.7</v>
      </c>
      <c r="D238" s="13"/>
    </row>
    <row r="239" spans="1:4" ht="12.75">
      <c r="A239" s="17"/>
      <c r="B239" s="94" t="s">
        <v>719</v>
      </c>
      <c r="C239" s="93">
        <v>3889.45</v>
      </c>
      <c r="D239" s="13"/>
    </row>
    <row r="240" spans="1:4" ht="12.75">
      <c r="A240" s="17"/>
      <c r="B240" s="90" t="s">
        <v>720</v>
      </c>
      <c r="C240" s="93">
        <v>5445.53</v>
      </c>
      <c r="D240" s="13"/>
    </row>
    <row r="241" spans="1:4" ht="48">
      <c r="A241" s="8"/>
      <c r="B241" s="95" t="s">
        <v>721</v>
      </c>
      <c r="C241" s="96">
        <f>129582.55+29643.2</f>
        <v>159225.75</v>
      </c>
      <c r="D241" s="5"/>
    </row>
    <row r="242" spans="1:4" ht="12.75">
      <c r="A242" s="8"/>
      <c r="B242" s="97" t="s">
        <v>722</v>
      </c>
      <c r="C242" s="96">
        <v>146109</v>
      </c>
      <c r="D242" s="5"/>
    </row>
    <row r="243" spans="1:4" ht="48">
      <c r="A243" s="8"/>
      <c r="B243" s="95" t="s">
        <v>723</v>
      </c>
      <c r="C243" s="96">
        <f>4541.26+1051.64</f>
        <v>5592.900000000001</v>
      </c>
      <c r="D243" s="5"/>
    </row>
    <row r="244" spans="1:4" ht="12.75">
      <c r="A244" s="8"/>
      <c r="B244" s="95" t="s">
        <v>724</v>
      </c>
      <c r="C244" s="96">
        <v>4812.56</v>
      </c>
      <c r="D244" s="5"/>
    </row>
    <row r="245" spans="1:4" ht="30">
      <c r="A245" s="8"/>
      <c r="B245" s="45" t="s">
        <v>725</v>
      </c>
      <c r="C245" s="46">
        <f>C219-C225</f>
        <v>-295281.86000000004</v>
      </c>
      <c r="D245" s="5"/>
    </row>
    <row r="246" spans="1:4" ht="15.75">
      <c r="A246" s="8"/>
      <c r="B246" s="45"/>
      <c r="C246" s="46"/>
      <c r="D246" s="5"/>
    </row>
    <row r="247" spans="1:4" ht="15.75">
      <c r="A247" s="8"/>
      <c r="B247" s="45" t="s">
        <v>653</v>
      </c>
      <c r="C247" s="46">
        <f>C219-(C213+C214)</f>
        <v>-45483.77000000008</v>
      </c>
      <c r="D247" s="13"/>
    </row>
    <row r="248" spans="1:4" ht="15.75">
      <c r="A248" s="8"/>
      <c r="B248" s="45" t="s">
        <v>654</v>
      </c>
      <c r="C248" s="46">
        <v>-10183.54</v>
      </c>
      <c r="D248" s="5"/>
    </row>
    <row r="249" spans="1:4" ht="15.75">
      <c r="A249" s="8"/>
      <c r="B249" s="45" t="s">
        <v>726</v>
      </c>
      <c r="C249" s="46">
        <v>-6194.73</v>
      </c>
      <c r="D249" s="5"/>
    </row>
    <row r="250" spans="1:3" ht="15.75">
      <c r="A250" s="8"/>
      <c r="B250" s="98" t="s">
        <v>727</v>
      </c>
      <c r="C250" s="99">
        <v>-26685.2</v>
      </c>
    </row>
    <row r="251" spans="1:3" ht="15.75">
      <c r="A251" s="8"/>
      <c r="B251" s="98" t="s">
        <v>728</v>
      </c>
      <c r="C251" s="23">
        <v>-2420.3</v>
      </c>
    </row>
    <row r="252" ht="53.25" customHeight="1"/>
    <row r="253" spans="2:4" ht="15">
      <c r="B253" s="196" t="s">
        <v>609</v>
      </c>
      <c r="C253" s="196"/>
      <c r="D253" s="196"/>
    </row>
    <row r="254" spans="2:4" ht="15">
      <c r="B254" s="197" t="s">
        <v>610</v>
      </c>
      <c r="C254" s="197"/>
      <c r="D254" s="1"/>
    </row>
    <row r="255" spans="2:4" ht="18.75">
      <c r="B255" s="198" t="s">
        <v>729</v>
      </c>
      <c r="C255" s="198"/>
      <c r="D255" s="198"/>
    </row>
    <row r="256" spans="2:4" ht="15.75">
      <c r="B256" s="199" t="s">
        <v>612</v>
      </c>
      <c r="C256" s="199"/>
      <c r="D256" s="199"/>
    </row>
    <row r="257" spans="2:4" ht="12.75">
      <c r="B257" s="3"/>
      <c r="C257" s="4"/>
      <c r="D257" s="5"/>
    </row>
    <row r="258" spans="2:4" ht="14.25">
      <c r="B258" s="6"/>
      <c r="C258" s="7"/>
      <c r="D258" s="5"/>
    </row>
    <row r="259" spans="1:4" ht="15.75">
      <c r="A259" s="8"/>
      <c r="B259" s="51" t="s">
        <v>613</v>
      </c>
      <c r="C259" s="52">
        <v>523.7</v>
      </c>
      <c r="D259" s="5"/>
    </row>
    <row r="260" spans="1:4" ht="15">
      <c r="A260" s="8"/>
      <c r="B260" s="53" t="s">
        <v>667</v>
      </c>
      <c r="C260" s="54">
        <v>3.2</v>
      </c>
      <c r="D260" s="13"/>
    </row>
    <row r="261" spans="1:4" ht="15">
      <c r="A261" s="8"/>
      <c r="B261" s="55" t="s">
        <v>615</v>
      </c>
      <c r="C261" s="56">
        <v>5.49</v>
      </c>
      <c r="D261" s="13"/>
    </row>
    <row r="262" spans="1:4" ht="18.75">
      <c r="A262" s="8"/>
      <c r="B262" s="15" t="s">
        <v>616</v>
      </c>
      <c r="C262" s="57">
        <f>1407.13+2410.68+6199.33</f>
        <v>10017.14</v>
      </c>
      <c r="D262" s="13"/>
    </row>
    <row r="263" spans="1:4" ht="18">
      <c r="A263" s="17">
        <v>1</v>
      </c>
      <c r="B263" s="18" t="s">
        <v>668</v>
      </c>
      <c r="C263" s="21">
        <f>20113.92+34508.16</f>
        <v>54622.08</v>
      </c>
      <c r="D263" s="5"/>
    </row>
    <row r="264" spans="1:4" ht="18">
      <c r="A264" s="17">
        <v>2</v>
      </c>
      <c r="B264" s="58" t="s">
        <v>669</v>
      </c>
      <c r="C264" s="59">
        <f>(C262+C263)-C266</f>
        <v>51985.43</v>
      </c>
      <c r="D264" s="5"/>
    </row>
    <row r="265" spans="1:4" ht="15">
      <c r="A265" s="17">
        <v>3</v>
      </c>
      <c r="B265" s="19" t="s">
        <v>670</v>
      </c>
      <c r="C265" s="20"/>
      <c r="D265" s="5"/>
    </row>
    <row r="266" spans="1:4" ht="15">
      <c r="A266" s="17"/>
      <c r="B266" s="60" t="s">
        <v>671</v>
      </c>
      <c r="C266" s="20">
        <f>3374.52+5789.27+3490</f>
        <v>12653.79</v>
      </c>
      <c r="D266" s="5"/>
    </row>
    <row r="267" spans="1:4" ht="15">
      <c r="A267" s="61"/>
      <c r="B267" s="62"/>
      <c r="C267" s="63"/>
      <c r="D267" s="5"/>
    </row>
    <row r="268" spans="1:4" ht="15">
      <c r="A268" s="61"/>
      <c r="B268" s="62"/>
      <c r="C268" s="63"/>
      <c r="D268" s="5"/>
    </row>
    <row r="269" spans="1:4" ht="31.5">
      <c r="A269" s="17">
        <v>4</v>
      </c>
      <c r="B269" s="64" t="s">
        <v>625</v>
      </c>
      <c r="C269" s="65">
        <f>C270+C271+C272+C273+C274+C275+C276</f>
        <v>53171.242</v>
      </c>
      <c r="D269" s="5"/>
    </row>
    <row r="270" spans="1:4" ht="26.25">
      <c r="A270" s="30" t="s">
        <v>672</v>
      </c>
      <c r="B270" s="31" t="s">
        <v>632</v>
      </c>
      <c r="C270" s="66">
        <v>1691.02</v>
      </c>
      <c r="D270" s="5"/>
    </row>
    <row r="271" spans="1:4" ht="15.75">
      <c r="A271" s="17" t="s">
        <v>697</v>
      </c>
      <c r="B271" s="79" t="s">
        <v>698</v>
      </c>
      <c r="C271" s="23">
        <v>1252.71</v>
      </c>
      <c r="D271" s="5"/>
    </row>
    <row r="272" spans="1:4" ht="15.75">
      <c r="A272" s="17" t="s">
        <v>673</v>
      </c>
      <c r="B272" s="79" t="s">
        <v>699</v>
      </c>
      <c r="C272" s="23">
        <v>36.96</v>
      </c>
      <c r="D272" s="5"/>
    </row>
    <row r="273" spans="1:4" ht="30">
      <c r="A273" s="17"/>
      <c r="B273" s="80" t="s">
        <v>700</v>
      </c>
      <c r="C273" s="23">
        <v>2000</v>
      </c>
      <c r="D273" s="5"/>
    </row>
    <row r="274" spans="1:4" ht="15.75">
      <c r="A274" s="17" t="s">
        <v>676</v>
      </c>
      <c r="B274" s="81" t="s">
        <v>701</v>
      </c>
      <c r="C274" s="69">
        <f>2.4*230*12</f>
        <v>6624</v>
      </c>
      <c r="D274" s="5"/>
    </row>
    <row r="275" spans="1:4" ht="15.75">
      <c r="A275" s="17"/>
      <c r="B275" s="82" t="s">
        <v>703</v>
      </c>
      <c r="C275" s="71">
        <f>C263*0.15</f>
        <v>8193.312</v>
      </c>
      <c r="D275" s="5"/>
    </row>
    <row r="276" spans="1:4" ht="15.75">
      <c r="A276" s="8">
        <v>5</v>
      </c>
      <c r="B276" s="79" t="s">
        <v>702</v>
      </c>
      <c r="C276" s="23">
        <f>C277+C278</f>
        <v>33373.24</v>
      </c>
      <c r="D276" s="5"/>
    </row>
    <row r="277" spans="1:4" ht="12.75">
      <c r="A277" s="8"/>
      <c r="B277" s="77" t="s">
        <v>730</v>
      </c>
      <c r="C277" s="96">
        <f>1053.7+56.08</f>
        <v>1109.78</v>
      </c>
      <c r="D277" s="5"/>
    </row>
    <row r="278" spans="1:4" ht="60">
      <c r="A278" s="8"/>
      <c r="B278" s="77" t="s">
        <v>731</v>
      </c>
      <c r="C278" s="96">
        <f>29587.27+2676.19</f>
        <v>32263.46</v>
      </c>
      <c r="D278" s="5"/>
    </row>
    <row r="279" spans="1:4" ht="15.75">
      <c r="A279" s="8"/>
      <c r="B279" s="83"/>
      <c r="C279" s="23"/>
      <c r="D279" s="5"/>
    </row>
    <row r="280" spans="1:4" ht="18">
      <c r="A280" s="8"/>
      <c r="B280" s="73" t="s">
        <v>684</v>
      </c>
      <c r="C280" s="59">
        <f>C264-C269</f>
        <v>-1185.811999999998</v>
      </c>
      <c r="D280" s="75"/>
    </row>
    <row r="281" ht="51.75" customHeight="1"/>
    <row r="282" spans="2:4" ht="15">
      <c r="B282" s="196" t="s">
        <v>609</v>
      </c>
      <c r="C282" s="196"/>
      <c r="D282" s="196"/>
    </row>
    <row r="283" spans="2:4" ht="15">
      <c r="B283" s="197" t="s">
        <v>610</v>
      </c>
      <c r="C283" s="197"/>
      <c r="D283" s="1"/>
    </row>
    <row r="284" spans="2:4" ht="18.75">
      <c r="B284" s="198" t="s">
        <v>732</v>
      </c>
      <c r="C284" s="198"/>
      <c r="D284" s="198"/>
    </row>
    <row r="285" spans="2:4" ht="15.75">
      <c r="B285" s="199" t="s">
        <v>612</v>
      </c>
      <c r="C285" s="199"/>
      <c r="D285" s="199"/>
    </row>
    <row r="286" spans="2:4" ht="12.75">
      <c r="B286" s="3"/>
      <c r="C286" s="4"/>
      <c r="D286" s="5"/>
    </row>
    <row r="287" spans="2:4" ht="14.25">
      <c r="B287" s="6"/>
      <c r="C287" s="7"/>
      <c r="D287" s="5"/>
    </row>
    <row r="288" spans="1:4" ht="15.75">
      <c r="A288" s="8"/>
      <c r="B288" s="51" t="s">
        <v>613</v>
      </c>
      <c r="C288" s="52">
        <v>348.4</v>
      </c>
      <c r="D288" s="5"/>
    </row>
    <row r="289" spans="1:4" ht="15">
      <c r="A289" s="8"/>
      <c r="B289" s="53" t="s">
        <v>667</v>
      </c>
      <c r="C289" s="54">
        <v>3.2</v>
      </c>
      <c r="D289" s="13"/>
    </row>
    <row r="290" spans="1:4" ht="15">
      <c r="A290" s="8"/>
      <c r="B290" s="55" t="s">
        <v>615</v>
      </c>
      <c r="C290" s="56">
        <v>5.49</v>
      </c>
      <c r="D290" s="13"/>
    </row>
    <row r="291" spans="1:4" ht="18.75">
      <c r="A291" s="8"/>
      <c r="B291" s="15" t="s">
        <v>616</v>
      </c>
      <c r="C291" s="57">
        <v>2650.52</v>
      </c>
      <c r="D291" s="13"/>
    </row>
    <row r="292" spans="1:4" ht="18">
      <c r="A292" s="17">
        <v>1</v>
      </c>
      <c r="B292" s="18" t="s">
        <v>668</v>
      </c>
      <c r="C292" s="21">
        <f>13366.68+22932.24</f>
        <v>36298.92</v>
      </c>
      <c r="D292" s="5"/>
    </row>
    <row r="293" spans="1:4" ht="18">
      <c r="A293" s="17">
        <v>2</v>
      </c>
      <c r="B293" s="58" t="s">
        <v>669</v>
      </c>
      <c r="C293" s="59">
        <f>(C291+C292)-C295</f>
        <v>38848.27999999999</v>
      </c>
      <c r="D293" s="5"/>
    </row>
    <row r="294" spans="1:4" ht="15">
      <c r="A294" s="17">
        <v>3</v>
      </c>
      <c r="B294" s="19" t="s">
        <v>670</v>
      </c>
      <c r="C294" s="20"/>
      <c r="D294" s="5"/>
    </row>
    <row r="295" spans="1:4" ht="15">
      <c r="A295" s="17"/>
      <c r="B295" s="60" t="s">
        <v>671</v>
      </c>
      <c r="C295" s="20">
        <v>101.16</v>
      </c>
      <c r="D295" s="5"/>
    </row>
    <row r="296" spans="1:4" ht="15">
      <c r="A296" s="61"/>
      <c r="B296" s="62"/>
      <c r="C296" s="63"/>
      <c r="D296" s="5"/>
    </row>
    <row r="297" spans="1:4" ht="15">
      <c r="A297" s="61"/>
      <c r="B297" s="62"/>
      <c r="C297" s="63"/>
      <c r="D297" s="5"/>
    </row>
    <row r="298" spans="1:4" ht="31.5">
      <c r="A298" s="17">
        <v>4</v>
      </c>
      <c r="B298" s="64" t="s">
        <v>625</v>
      </c>
      <c r="C298" s="65">
        <f>C299+C300+C301+C302+C303+C304</f>
        <v>23541.917999999998</v>
      </c>
      <c r="D298" s="5"/>
    </row>
    <row r="299" spans="1:4" ht="26.25">
      <c r="A299" s="30" t="s">
        <v>672</v>
      </c>
      <c r="B299" s="31" t="s">
        <v>632</v>
      </c>
      <c r="C299" s="66">
        <v>1175.31</v>
      </c>
      <c r="D299" s="5"/>
    </row>
    <row r="300" spans="1:4" ht="15.75">
      <c r="A300" s="17" t="s">
        <v>697</v>
      </c>
      <c r="B300" s="79" t="s">
        <v>733</v>
      </c>
      <c r="C300" s="23">
        <v>845.37</v>
      </c>
      <c r="D300" s="5"/>
    </row>
    <row r="301" spans="1:4" ht="15.75">
      <c r="A301" s="17" t="s">
        <v>673</v>
      </c>
      <c r="B301" s="79" t="s">
        <v>699</v>
      </c>
      <c r="C301" s="23">
        <v>12.89</v>
      </c>
      <c r="D301" s="5"/>
    </row>
    <row r="302" spans="1:4" ht="15.75">
      <c r="A302" s="17" t="s">
        <v>676</v>
      </c>
      <c r="B302" s="81" t="s">
        <v>734</v>
      </c>
      <c r="C302" s="69">
        <f>2.1*230*12</f>
        <v>5796</v>
      </c>
      <c r="D302" s="5"/>
    </row>
    <row r="303" spans="1:4" ht="15.75">
      <c r="A303" s="8">
        <v>5</v>
      </c>
      <c r="B303" s="82" t="s">
        <v>703</v>
      </c>
      <c r="C303" s="71">
        <f>C292*0.15</f>
        <v>5444.838</v>
      </c>
      <c r="D303" s="5"/>
    </row>
    <row r="304" spans="1:4" ht="15.75">
      <c r="A304" s="8">
        <v>6</v>
      </c>
      <c r="B304" s="79" t="s">
        <v>735</v>
      </c>
      <c r="C304" s="71">
        <f>C306+C307+C308</f>
        <v>10267.51</v>
      </c>
      <c r="D304" s="5"/>
    </row>
    <row r="305" spans="1:4" ht="15.75">
      <c r="A305" s="8"/>
      <c r="B305" s="79" t="s">
        <v>736</v>
      </c>
      <c r="C305" s="71"/>
      <c r="D305" s="5"/>
    </row>
    <row r="306" spans="1:4" ht="12.75">
      <c r="A306" s="8"/>
      <c r="B306" s="40" t="s">
        <v>737</v>
      </c>
      <c r="C306" s="41">
        <v>889.59</v>
      </c>
      <c r="D306" s="5"/>
    </row>
    <row r="307" spans="1:4" ht="12.75">
      <c r="A307" s="8"/>
      <c r="B307" s="37" t="s">
        <v>738</v>
      </c>
      <c r="C307" s="100">
        <v>2004.42</v>
      </c>
      <c r="D307" s="5"/>
    </row>
    <row r="308" spans="1:4" ht="24">
      <c r="A308" s="8"/>
      <c r="B308" s="37" t="s">
        <v>739</v>
      </c>
      <c r="C308" s="101">
        <v>7373.5</v>
      </c>
      <c r="D308" s="5"/>
    </row>
    <row r="309" spans="1:4" ht="15.75">
      <c r="A309" s="8"/>
      <c r="B309" s="79"/>
      <c r="C309" s="71"/>
      <c r="D309" s="5"/>
    </row>
    <row r="310" spans="1:3" ht="18">
      <c r="A310" s="8"/>
      <c r="B310" s="73" t="s">
        <v>683</v>
      </c>
      <c r="C310" s="74">
        <v>-7874.13</v>
      </c>
    </row>
    <row r="311" spans="1:4" ht="18">
      <c r="A311" s="8"/>
      <c r="B311" s="73" t="s">
        <v>740</v>
      </c>
      <c r="C311" s="59">
        <f>C293-C298</f>
        <v>15306.361999999994</v>
      </c>
      <c r="D311" s="75"/>
    </row>
    <row r="312" spans="1:3" ht="18.75">
      <c r="A312" s="8"/>
      <c r="B312" s="76" t="s">
        <v>652</v>
      </c>
      <c r="C312" s="74">
        <f>SUM(C310:C311)</f>
        <v>7432.231999999994</v>
      </c>
    </row>
    <row r="313" ht="51.75" customHeight="1"/>
    <row r="314" spans="2:4" ht="15">
      <c r="B314" s="196" t="s">
        <v>609</v>
      </c>
      <c r="C314" s="196"/>
      <c r="D314" s="196"/>
    </row>
    <row r="315" spans="2:4" ht="15">
      <c r="B315" s="197" t="s">
        <v>704</v>
      </c>
      <c r="C315" s="197"/>
      <c r="D315" s="1"/>
    </row>
    <row r="316" spans="2:4" ht="18.75">
      <c r="B316" s="198" t="s">
        <v>741</v>
      </c>
      <c r="C316" s="198"/>
      <c r="D316" s="198"/>
    </row>
    <row r="317" spans="2:4" ht="15.75">
      <c r="B317" s="199" t="s">
        <v>612</v>
      </c>
      <c r="C317" s="199"/>
      <c r="D317" s="199"/>
    </row>
    <row r="318" spans="2:4" ht="12.75">
      <c r="B318" s="3"/>
      <c r="C318" s="4"/>
      <c r="D318" s="5"/>
    </row>
    <row r="319" spans="1:4" ht="15">
      <c r="A319" s="8"/>
      <c r="B319" s="9" t="s">
        <v>613</v>
      </c>
      <c r="C319" s="10">
        <v>2548.1</v>
      </c>
      <c r="D319" s="5"/>
    </row>
    <row r="320" spans="1:4" ht="12.75">
      <c r="A320" s="8"/>
      <c r="B320" s="11" t="s">
        <v>614</v>
      </c>
      <c r="C320" s="12">
        <v>4.83</v>
      </c>
      <c r="D320" s="13"/>
    </row>
    <row r="321" spans="1:4" ht="12.75">
      <c r="A321" s="8"/>
      <c r="B321" s="14" t="s">
        <v>615</v>
      </c>
      <c r="C321" s="12">
        <v>8.23</v>
      </c>
      <c r="D321" s="13"/>
    </row>
    <row r="322" spans="1:4" ht="18.75">
      <c r="A322" s="8"/>
      <c r="B322" s="15" t="s">
        <v>616</v>
      </c>
      <c r="C322" s="16">
        <v>228090.44</v>
      </c>
      <c r="D322" s="13"/>
    </row>
    <row r="323" spans="1:4" ht="18.75">
      <c r="A323" s="17">
        <v>1</v>
      </c>
      <c r="B323" s="18" t="s">
        <v>617</v>
      </c>
      <c r="C323" s="16">
        <f>C324+C325+C326</f>
        <v>1422471.7999999998</v>
      </c>
      <c r="D323" s="5"/>
    </row>
    <row r="324" spans="1:4" ht="15">
      <c r="A324" s="17"/>
      <c r="B324" s="19" t="s">
        <v>618</v>
      </c>
      <c r="C324" s="20">
        <f>137447.38+235067.41</f>
        <v>372514.79000000004</v>
      </c>
      <c r="D324" s="5"/>
    </row>
    <row r="325" spans="1:4" ht="15">
      <c r="A325" s="17"/>
      <c r="B325" s="19" t="s">
        <v>709</v>
      </c>
      <c r="C325" s="20">
        <f>114106.96+209199.46</f>
        <v>323306.42</v>
      </c>
      <c r="D325" s="5"/>
    </row>
    <row r="326" spans="1:4" ht="15.75">
      <c r="A326" s="17"/>
      <c r="B326" s="87" t="s">
        <v>742</v>
      </c>
      <c r="C326" s="20">
        <v>726650.59</v>
      </c>
      <c r="D326" s="5"/>
    </row>
    <row r="327" spans="1:4" ht="18">
      <c r="A327" s="17">
        <v>2</v>
      </c>
      <c r="B327" s="18" t="s">
        <v>620</v>
      </c>
      <c r="C327" s="21">
        <f>C328+C329+C330</f>
        <v>1407364.82</v>
      </c>
      <c r="D327" s="13"/>
    </row>
    <row r="328" spans="1:4" ht="15.75">
      <c r="A328" s="17"/>
      <c r="B328" s="102" t="s">
        <v>743</v>
      </c>
      <c r="C328" s="23">
        <f>137973.48+221166.94</f>
        <v>359140.42000000004</v>
      </c>
      <c r="D328" s="13"/>
    </row>
    <row r="329" spans="1:4" ht="15.75">
      <c r="A329" s="17"/>
      <c r="B329" s="102" t="s">
        <v>744</v>
      </c>
      <c r="C329" s="23">
        <f>103966.81+191131.37</f>
        <v>295098.18</v>
      </c>
      <c r="D329" s="5"/>
    </row>
    <row r="330" spans="1:4" ht="15.75">
      <c r="A330" s="17"/>
      <c r="B330" s="87" t="s">
        <v>745</v>
      </c>
      <c r="C330" s="23">
        <v>753126.22</v>
      </c>
      <c r="D330" s="13"/>
    </row>
    <row r="331" spans="1:4" ht="36">
      <c r="A331" s="17">
        <v>5</v>
      </c>
      <c r="B331" s="24" t="s">
        <v>625</v>
      </c>
      <c r="C331" s="25">
        <f>C332+C335</f>
        <v>1346696.1685</v>
      </c>
      <c r="D331" s="13"/>
    </row>
    <row r="332" spans="1:4" ht="18.75">
      <c r="A332" s="17"/>
      <c r="B332" s="26" t="s">
        <v>626</v>
      </c>
      <c r="C332" s="27">
        <f>C333+C334</f>
        <v>980321.4199999999</v>
      </c>
      <c r="D332" s="13"/>
    </row>
    <row r="333" spans="1:4" ht="15">
      <c r="A333" s="17" t="s">
        <v>627</v>
      </c>
      <c r="B333" s="28" t="s">
        <v>628</v>
      </c>
      <c r="C333" s="29">
        <f>4309*58.87</f>
        <v>253670.83</v>
      </c>
      <c r="D333" s="13"/>
    </row>
    <row r="334" spans="1:4" ht="15">
      <c r="A334" s="17"/>
      <c r="B334" s="28" t="s">
        <v>742</v>
      </c>
      <c r="C334" s="103">
        <v>726650.59</v>
      </c>
      <c r="D334" s="13"/>
    </row>
    <row r="335" spans="1:4" ht="18.75">
      <c r="A335" s="17"/>
      <c r="B335" s="26" t="s">
        <v>630</v>
      </c>
      <c r="C335" s="27">
        <f>C336+C337+C338+C339+C340+C341+C342+C343+C344+C345+C346+C347</f>
        <v>366374.7485</v>
      </c>
      <c r="D335" s="13"/>
    </row>
    <row r="336" spans="1:4" ht="25.5">
      <c r="A336" s="30" t="s">
        <v>631</v>
      </c>
      <c r="B336" s="31" t="s">
        <v>632</v>
      </c>
      <c r="C336" s="32">
        <v>85720.11</v>
      </c>
      <c r="D336" s="5"/>
    </row>
    <row r="337" spans="1:4" ht="12.75">
      <c r="A337" s="17" t="s">
        <v>633</v>
      </c>
      <c r="B337" s="33" t="s">
        <v>634</v>
      </c>
      <c r="C337" s="34">
        <v>57.21</v>
      </c>
      <c r="D337" s="5"/>
    </row>
    <row r="338" spans="1:4" ht="12.75">
      <c r="A338" s="17" t="s">
        <v>635</v>
      </c>
      <c r="B338" s="35" t="s">
        <v>746</v>
      </c>
      <c r="C338" s="34">
        <v>55644.12</v>
      </c>
      <c r="D338" s="5"/>
    </row>
    <row r="339" spans="1:4" ht="12.75">
      <c r="A339" s="17" t="s">
        <v>637</v>
      </c>
      <c r="B339" s="35" t="s">
        <v>640</v>
      </c>
      <c r="C339" s="34">
        <v>13724.01</v>
      </c>
      <c r="D339" s="5"/>
    </row>
    <row r="340" spans="1:4" ht="12.75">
      <c r="A340" s="30" t="s">
        <v>639</v>
      </c>
      <c r="B340" s="33" t="s">
        <v>747</v>
      </c>
      <c r="C340" s="34">
        <f>12.3*230*12</f>
        <v>33948</v>
      </c>
      <c r="D340" s="5"/>
    </row>
    <row r="341" spans="1:4" ht="12.75">
      <c r="A341" s="30"/>
      <c r="B341" s="104" t="s">
        <v>748</v>
      </c>
      <c r="C341" s="34">
        <v>146.54</v>
      </c>
      <c r="D341" s="5"/>
    </row>
    <row r="342" spans="1:4" ht="25.5">
      <c r="A342" s="30"/>
      <c r="B342" s="105" t="s">
        <v>749</v>
      </c>
      <c r="C342" s="106">
        <v>74702.5</v>
      </c>
      <c r="D342" s="5"/>
    </row>
    <row r="343" spans="1:4" ht="12.75">
      <c r="A343" s="30"/>
      <c r="B343" s="107" t="s">
        <v>750</v>
      </c>
      <c r="C343" s="34">
        <f>11*(119.5+56.3)+250</f>
        <v>2183.8</v>
      </c>
      <c r="D343" s="5"/>
    </row>
    <row r="344" spans="1:4" ht="25.5">
      <c r="A344" s="30"/>
      <c r="B344" s="108" t="s">
        <v>751</v>
      </c>
      <c r="C344" s="34">
        <v>411.01</v>
      </c>
      <c r="D344" s="5"/>
    </row>
    <row r="345" spans="1:4" ht="38.25">
      <c r="A345" s="30"/>
      <c r="B345" s="109" t="s">
        <v>752</v>
      </c>
      <c r="C345" s="34">
        <f>11221.26+1792+1500</f>
        <v>14513.26</v>
      </c>
      <c r="D345" s="5"/>
    </row>
    <row r="346" spans="1:4" ht="12.75">
      <c r="A346" s="30" t="s">
        <v>641</v>
      </c>
      <c r="B346" s="33" t="s">
        <v>646</v>
      </c>
      <c r="C346" s="34">
        <f>C324*0.15</f>
        <v>55877.2185</v>
      </c>
      <c r="D346" s="5"/>
    </row>
    <row r="347" spans="1:4" ht="12.75">
      <c r="A347" s="17" t="s">
        <v>643</v>
      </c>
      <c r="B347" s="33" t="s">
        <v>648</v>
      </c>
      <c r="C347" s="34">
        <v>29446.97</v>
      </c>
      <c r="D347" s="13"/>
    </row>
    <row r="348" spans="1:4" ht="12.75">
      <c r="A348" s="17"/>
      <c r="B348" s="33"/>
      <c r="C348" s="34"/>
      <c r="D348" s="13"/>
    </row>
    <row r="349" spans="1:4" ht="30">
      <c r="A349" s="8"/>
      <c r="B349" s="45" t="s">
        <v>753</v>
      </c>
      <c r="C349" s="46">
        <f>C327-C331</f>
        <v>60668.65150000015</v>
      </c>
      <c r="D349" s="5"/>
    </row>
    <row r="350" spans="1:4" ht="15.75">
      <c r="A350" s="8"/>
      <c r="B350" s="45"/>
      <c r="C350" s="46"/>
      <c r="D350" s="5"/>
    </row>
    <row r="351" spans="1:4" ht="15.75">
      <c r="A351" s="8"/>
      <c r="B351" s="45" t="s">
        <v>653</v>
      </c>
      <c r="C351" s="46">
        <f>C327-(C322+C323)</f>
        <v>-243197.4199999997</v>
      </c>
      <c r="D351" s="13"/>
    </row>
    <row r="352" spans="1:4" ht="15.75">
      <c r="A352" s="8"/>
      <c r="B352" s="45" t="s">
        <v>654</v>
      </c>
      <c r="C352" s="46">
        <v>-61777.21</v>
      </c>
      <c r="D352" s="5"/>
    </row>
    <row r="353" spans="1:4" ht="15.75">
      <c r="A353" s="8"/>
      <c r="B353" s="45" t="s">
        <v>726</v>
      </c>
      <c r="C353" s="46">
        <v>-64884.27</v>
      </c>
      <c r="D353" s="5"/>
    </row>
    <row r="354" spans="1:3" ht="15.75">
      <c r="A354" s="8"/>
      <c r="B354" s="98" t="s">
        <v>754</v>
      </c>
      <c r="C354" s="99">
        <v>-116535.94</v>
      </c>
    </row>
    <row r="355" spans="1:3" ht="15.75">
      <c r="A355" s="43"/>
      <c r="B355" s="110"/>
      <c r="C355" s="111"/>
    </row>
    <row r="356" spans="1:2" ht="12.75">
      <c r="A356" s="43"/>
      <c r="B356" t="s">
        <v>755</v>
      </c>
    </row>
    <row r="357" ht="12.75">
      <c r="B357" t="s">
        <v>756</v>
      </c>
    </row>
    <row r="358" ht="12.75">
      <c r="B358" t="s">
        <v>757</v>
      </c>
    </row>
    <row r="359" spans="2:3" ht="12.75">
      <c r="B359" t="s">
        <v>758</v>
      </c>
      <c r="C359" s="112">
        <f>4309*58.87</f>
        <v>253670.83</v>
      </c>
    </row>
    <row r="360" spans="2:3" ht="12.75">
      <c r="B360" t="s">
        <v>759</v>
      </c>
      <c r="C360" s="113">
        <f>3857.4*58.87</f>
        <v>227085.138</v>
      </c>
    </row>
    <row r="361" spans="2:3" ht="15">
      <c r="B361" s="114" t="s">
        <v>760</v>
      </c>
      <c r="C361" s="115">
        <f>C359-C360</f>
        <v>26585.69199999998</v>
      </c>
    </row>
    <row r="362" ht="50.25" customHeight="1"/>
    <row r="363" spans="2:4" ht="15">
      <c r="B363" s="196" t="s">
        <v>609</v>
      </c>
      <c r="C363" s="196"/>
      <c r="D363" s="196"/>
    </row>
    <row r="364" spans="2:4" ht="15">
      <c r="B364" s="197" t="s">
        <v>704</v>
      </c>
      <c r="C364" s="197"/>
      <c r="D364" s="1"/>
    </row>
    <row r="365" spans="2:4" ht="18.75">
      <c r="B365" s="198" t="s">
        <v>761</v>
      </c>
      <c r="C365" s="198"/>
      <c r="D365" s="198"/>
    </row>
    <row r="366" spans="2:4" ht="15.75">
      <c r="B366" s="199" t="s">
        <v>612</v>
      </c>
      <c r="C366" s="199"/>
      <c r="D366" s="199"/>
    </row>
    <row r="367" spans="2:4" ht="14.25">
      <c r="B367" s="6"/>
      <c r="C367" s="7"/>
      <c r="D367" s="5"/>
    </row>
    <row r="368" spans="1:4" ht="15">
      <c r="A368" s="8"/>
      <c r="B368" s="9" t="s">
        <v>613</v>
      </c>
      <c r="C368" s="10">
        <v>3114.75</v>
      </c>
      <c r="D368" s="5"/>
    </row>
    <row r="369" spans="1:4" ht="12.75">
      <c r="A369" s="8"/>
      <c r="B369" s="11" t="s">
        <v>614</v>
      </c>
      <c r="C369" s="12">
        <v>4.83</v>
      </c>
      <c r="D369" s="13"/>
    </row>
    <row r="370" spans="1:4" ht="12.75">
      <c r="A370" s="8"/>
      <c r="B370" s="14" t="s">
        <v>615</v>
      </c>
      <c r="C370" s="12">
        <v>8.23</v>
      </c>
      <c r="D370" s="13"/>
    </row>
    <row r="371" spans="1:4" ht="18.75">
      <c r="A371" s="8"/>
      <c r="B371" s="15" t="s">
        <v>616</v>
      </c>
      <c r="C371" s="16">
        <v>396266.21</v>
      </c>
      <c r="D371" s="13"/>
    </row>
    <row r="372" spans="1:4" ht="18.75">
      <c r="A372" s="17">
        <v>1</v>
      </c>
      <c r="B372" s="18" t="s">
        <v>617</v>
      </c>
      <c r="C372" s="16">
        <f>C373+C374+C375</f>
        <v>1872784.6600000001</v>
      </c>
      <c r="D372" s="5"/>
    </row>
    <row r="373" spans="1:4" ht="15">
      <c r="A373" s="17"/>
      <c r="B373" s="19" t="s">
        <v>618</v>
      </c>
      <c r="C373" s="20">
        <f>180354.64+307380.7</f>
        <v>487735.34</v>
      </c>
      <c r="D373" s="5"/>
    </row>
    <row r="374" spans="1:4" ht="15">
      <c r="A374" s="17"/>
      <c r="B374" s="19" t="s">
        <v>709</v>
      </c>
      <c r="C374" s="20">
        <f>130298.45+241637.6</f>
        <v>371936.05</v>
      </c>
      <c r="D374" s="5"/>
    </row>
    <row r="375" spans="1:4" ht="15.75">
      <c r="A375" s="17"/>
      <c r="B375" s="87" t="s">
        <v>742</v>
      </c>
      <c r="C375" s="20">
        <v>1013113.27</v>
      </c>
      <c r="D375" s="5"/>
    </row>
    <row r="376" spans="1:4" ht="18">
      <c r="A376" s="17">
        <v>2</v>
      </c>
      <c r="B376" s="18" t="s">
        <v>620</v>
      </c>
      <c r="C376" s="21">
        <f>C377+C378+C379</f>
        <v>1734601.08</v>
      </c>
      <c r="D376" s="13"/>
    </row>
    <row r="377" spans="1:4" ht="15.75">
      <c r="A377" s="17" t="s">
        <v>621</v>
      </c>
      <c r="B377" s="102" t="s">
        <v>743</v>
      </c>
      <c r="C377" s="23">
        <f>168334.79+282841.99</f>
        <v>451176.78</v>
      </c>
      <c r="D377" s="13"/>
    </row>
    <row r="378" spans="1:4" ht="15.75">
      <c r="A378" s="17" t="s">
        <v>623</v>
      </c>
      <c r="B378" s="102" t="s">
        <v>744</v>
      </c>
      <c r="C378" s="23">
        <f>115479.63+214934.09</f>
        <v>330413.72</v>
      </c>
      <c r="D378" s="5"/>
    </row>
    <row r="379" spans="1:4" ht="15.75">
      <c r="A379" s="17" t="s">
        <v>762</v>
      </c>
      <c r="B379" s="87" t="s">
        <v>745</v>
      </c>
      <c r="C379" s="23">
        <v>953010.58</v>
      </c>
      <c r="D379" s="13"/>
    </row>
    <row r="380" spans="1:4" ht="36">
      <c r="A380" s="17">
        <v>5</v>
      </c>
      <c r="B380" s="24" t="s">
        <v>625</v>
      </c>
      <c r="C380" s="25">
        <f>C381+C384</f>
        <v>1763691.051</v>
      </c>
      <c r="D380" s="13"/>
    </row>
    <row r="381" spans="1:4" ht="18.75">
      <c r="A381" s="17"/>
      <c r="B381" s="26" t="s">
        <v>626</v>
      </c>
      <c r="C381" s="27">
        <f>C382+C383</f>
        <v>1283032.22</v>
      </c>
      <c r="D381" s="13"/>
    </row>
    <row r="382" spans="1:4" ht="15">
      <c r="A382" s="17" t="s">
        <v>627</v>
      </c>
      <c r="B382" s="28" t="s">
        <v>628</v>
      </c>
      <c r="C382" s="29">
        <f>4585*58.87</f>
        <v>269918.95</v>
      </c>
      <c r="D382" s="13"/>
    </row>
    <row r="383" spans="1:4" ht="15">
      <c r="A383" s="17" t="s">
        <v>629</v>
      </c>
      <c r="B383" s="28" t="s">
        <v>742</v>
      </c>
      <c r="C383" s="20">
        <v>1013113.27</v>
      </c>
      <c r="D383" s="13"/>
    </row>
    <row r="384" spans="1:4" ht="18.75">
      <c r="A384" s="17" t="s">
        <v>763</v>
      </c>
      <c r="B384" s="26" t="s">
        <v>630</v>
      </c>
      <c r="C384" s="27">
        <f>C385+C386+C387+C388+C389+C390+C391+C392+C393+C394+C395+C396</f>
        <v>480658.83099999995</v>
      </c>
      <c r="D384" s="13"/>
    </row>
    <row r="385" spans="1:4" ht="25.5">
      <c r="A385" s="30" t="s">
        <v>631</v>
      </c>
      <c r="B385" s="31" t="s">
        <v>632</v>
      </c>
      <c r="C385" s="32">
        <v>91319.62</v>
      </c>
      <c r="D385" s="5"/>
    </row>
    <row r="386" spans="1:4" ht="12.75">
      <c r="A386" s="17" t="s">
        <v>633</v>
      </c>
      <c r="B386" s="33" t="s">
        <v>634</v>
      </c>
      <c r="C386" s="34">
        <v>1581.65</v>
      </c>
      <c r="D386" s="5"/>
    </row>
    <row r="387" spans="1:4" ht="24">
      <c r="A387" s="17"/>
      <c r="B387" s="90" t="s">
        <v>764</v>
      </c>
      <c r="C387" s="32">
        <f>1382.16+563.26</f>
        <v>1945.42</v>
      </c>
      <c r="D387" s="5"/>
    </row>
    <row r="388" spans="1:4" ht="12.75">
      <c r="A388" s="17" t="s">
        <v>635</v>
      </c>
      <c r="B388" s="35" t="s">
        <v>746</v>
      </c>
      <c r="C388" s="34">
        <v>51983.03</v>
      </c>
      <c r="D388" s="5"/>
    </row>
    <row r="389" spans="1:4" ht="12.75">
      <c r="A389" s="17" t="s">
        <v>637</v>
      </c>
      <c r="B389" s="35" t="s">
        <v>640</v>
      </c>
      <c r="C389" s="34">
        <v>18143.37</v>
      </c>
      <c r="D389" s="5"/>
    </row>
    <row r="390" spans="1:4" ht="12.75">
      <c r="A390" s="30" t="s">
        <v>639</v>
      </c>
      <c r="B390" s="33" t="s">
        <v>765</v>
      </c>
      <c r="C390" s="34">
        <f>13.9*230*12</f>
        <v>38364</v>
      </c>
      <c r="D390" s="5"/>
    </row>
    <row r="391" spans="1:4" ht="12.75">
      <c r="A391" s="30"/>
      <c r="B391" s="36" t="s">
        <v>766</v>
      </c>
      <c r="C391" s="34">
        <v>472.47</v>
      </c>
      <c r="D391" s="5"/>
    </row>
    <row r="392" spans="1:4" ht="12.75">
      <c r="A392" s="30"/>
      <c r="B392" s="104" t="s">
        <v>767</v>
      </c>
      <c r="C392" s="34">
        <v>330</v>
      </c>
      <c r="D392" s="5"/>
    </row>
    <row r="393" spans="1:4" ht="25.5">
      <c r="A393" s="30"/>
      <c r="B393" s="105" t="s">
        <v>749</v>
      </c>
      <c r="C393" s="106">
        <v>84060.78</v>
      </c>
      <c r="D393" s="5"/>
    </row>
    <row r="394" spans="1:4" ht="12.75">
      <c r="A394" s="30"/>
      <c r="B394" s="107" t="s">
        <v>750</v>
      </c>
      <c r="C394" s="34">
        <v>6051.4</v>
      </c>
      <c r="D394" s="5"/>
    </row>
    <row r="395" spans="1:4" ht="12.75">
      <c r="A395" s="30" t="s">
        <v>641</v>
      </c>
      <c r="B395" s="33" t="s">
        <v>646</v>
      </c>
      <c r="C395" s="34">
        <f>C373*0.15</f>
        <v>73160.301</v>
      </c>
      <c r="D395" s="5"/>
    </row>
    <row r="396" spans="1:4" ht="12.75">
      <c r="A396" s="17" t="s">
        <v>643</v>
      </c>
      <c r="B396" s="33" t="s">
        <v>648</v>
      </c>
      <c r="C396" s="34">
        <v>113246.79</v>
      </c>
      <c r="D396" s="13"/>
    </row>
    <row r="397" spans="1:4" ht="12.75">
      <c r="A397" s="17"/>
      <c r="B397" s="39" t="s">
        <v>649</v>
      </c>
      <c r="C397" s="34"/>
      <c r="D397" s="13"/>
    </row>
    <row r="398" spans="1:4" ht="30">
      <c r="A398" s="8"/>
      <c r="B398" s="45" t="s">
        <v>650</v>
      </c>
      <c r="C398" s="46">
        <f>C376-C380</f>
        <v>-29089.970999999903</v>
      </c>
      <c r="D398" s="5"/>
    </row>
    <row r="399" spans="1:4" ht="15.75">
      <c r="A399" s="8"/>
      <c r="B399" s="45"/>
      <c r="C399" s="46"/>
      <c r="D399" s="5"/>
    </row>
    <row r="400" spans="1:4" ht="30">
      <c r="A400" s="8"/>
      <c r="B400" s="45" t="s">
        <v>768</v>
      </c>
      <c r="C400" s="46">
        <f>C377-C384</f>
        <v>-29482.05099999992</v>
      </c>
      <c r="D400" s="5"/>
    </row>
    <row r="401" spans="1:4" ht="15.75">
      <c r="A401" s="8"/>
      <c r="B401" s="45" t="s">
        <v>651</v>
      </c>
      <c r="C401" s="46">
        <v>146276.14</v>
      </c>
      <c r="D401" s="5"/>
    </row>
    <row r="402" spans="1:4" ht="15.75">
      <c r="A402" s="8"/>
      <c r="B402" s="45" t="s">
        <v>652</v>
      </c>
      <c r="C402" s="46">
        <f>SUM(C400:C401)</f>
        <v>116794.0890000001</v>
      </c>
      <c r="D402" s="5"/>
    </row>
    <row r="403" spans="1:4" ht="15.75">
      <c r="A403" s="8"/>
      <c r="B403" s="45"/>
      <c r="C403" s="46"/>
      <c r="D403" s="5"/>
    </row>
    <row r="404" spans="1:4" ht="15.75">
      <c r="A404" s="8"/>
      <c r="B404" s="45" t="s">
        <v>653</v>
      </c>
      <c r="C404" s="46">
        <f>C376-(C371+C372)</f>
        <v>-534449.79</v>
      </c>
      <c r="D404" s="13"/>
    </row>
    <row r="405" spans="1:4" ht="15.75">
      <c r="A405" s="8"/>
      <c r="B405" s="45" t="s">
        <v>654</v>
      </c>
      <c r="C405" s="46">
        <v>-61777.21</v>
      </c>
      <c r="D405" s="5"/>
    </row>
    <row r="406" spans="1:4" ht="15.75">
      <c r="A406" s="8"/>
      <c r="B406" s="45" t="s">
        <v>726</v>
      </c>
      <c r="C406" s="46">
        <v>-64884.27</v>
      </c>
      <c r="D406" s="5"/>
    </row>
    <row r="407" spans="1:3" ht="15.75">
      <c r="A407" s="8"/>
      <c r="B407" s="98" t="s">
        <v>754</v>
      </c>
      <c r="C407" s="99">
        <v>-116535.94</v>
      </c>
    </row>
    <row r="408" spans="1:2" ht="12.75">
      <c r="A408" s="43"/>
      <c r="B408" t="s">
        <v>755</v>
      </c>
    </row>
    <row r="409" ht="12.75">
      <c r="B409" t="s">
        <v>769</v>
      </c>
    </row>
    <row r="410" spans="2:3" ht="12.75">
      <c r="B410" t="s">
        <v>770</v>
      </c>
      <c r="C410" s="112">
        <f>4585*58.87</f>
        <v>269918.95</v>
      </c>
    </row>
    <row r="411" spans="2:3" ht="12.75">
      <c r="B411" t="s">
        <v>771</v>
      </c>
      <c r="C411" s="113">
        <f>4317.3*58.87</f>
        <v>254159.451</v>
      </c>
    </row>
    <row r="412" spans="2:3" ht="15">
      <c r="B412" s="114" t="s">
        <v>772</v>
      </c>
      <c r="C412" s="115">
        <f>C410-C411</f>
        <v>15759.49900000001</v>
      </c>
    </row>
    <row r="413" ht="51.75" customHeight="1"/>
    <row r="414" spans="2:4" ht="15">
      <c r="B414" s="196" t="s">
        <v>609</v>
      </c>
      <c r="C414" s="196"/>
      <c r="D414" s="196"/>
    </row>
    <row r="415" spans="2:4" ht="15">
      <c r="B415" s="197" t="s">
        <v>704</v>
      </c>
      <c r="C415" s="197"/>
      <c r="D415" s="1"/>
    </row>
    <row r="416" spans="2:4" ht="18.75">
      <c r="B416" s="198" t="s">
        <v>773</v>
      </c>
      <c r="C416" s="198"/>
      <c r="D416" s="198"/>
    </row>
    <row r="417" spans="2:4" ht="15.75">
      <c r="B417" s="199" t="s">
        <v>612</v>
      </c>
      <c r="C417" s="199"/>
      <c r="D417" s="199"/>
    </row>
    <row r="418" spans="2:4" ht="14.25">
      <c r="B418" s="6"/>
      <c r="C418" s="7"/>
      <c r="D418" s="5"/>
    </row>
    <row r="419" spans="1:4" ht="15">
      <c r="A419" s="8"/>
      <c r="B419" s="9" t="s">
        <v>613</v>
      </c>
      <c r="C419" s="10">
        <v>4475.3</v>
      </c>
      <c r="D419" s="5"/>
    </row>
    <row r="420" spans="1:4" ht="12.75">
      <c r="A420" s="8"/>
      <c r="B420" s="11" t="s">
        <v>614</v>
      </c>
      <c r="C420" s="12">
        <v>4.83</v>
      </c>
      <c r="D420" s="13"/>
    </row>
    <row r="421" spans="1:4" ht="12.75">
      <c r="A421" s="8"/>
      <c r="B421" s="14" t="s">
        <v>615</v>
      </c>
      <c r="C421" s="12">
        <v>8.23</v>
      </c>
      <c r="D421" s="13"/>
    </row>
    <row r="422" spans="1:4" ht="18.75">
      <c r="A422" s="8"/>
      <c r="B422" s="15" t="s">
        <v>616</v>
      </c>
      <c r="C422" s="16">
        <v>312170.24</v>
      </c>
      <c r="D422" s="13"/>
    </row>
    <row r="423" spans="1:4" ht="18.75">
      <c r="A423" s="17">
        <v>1</v>
      </c>
      <c r="B423" s="18" t="s">
        <v>617</v>
      </c>
      <c r="C423" s="16">
        <f>C424+C425+C426</f>
        <v>1927374.7</v>
      </c>
      <c r="D423" s="5"/>
    </row>
    <row r="424" spans="1:4" ht="15">
      <c r="A424" s="17"/>
      <c r="B424" s="19" t="s">
        <v>618</v>
      </c>
      <c r="C424" s="20">
        <f>257622.22+439135.52</f>
        <v>696757.74</v>
      </c>
      <c r="D424" s="5"/>
    </row>
    <row r="425" spans="1:4" ht="15">
      <c r="A425" s="17"/>
      <c r="B425" s="19" t="s">
        <v>709</v>
      </c>
      <c r="C425" s="20">
        <f>143332.55+264405.86</f>
        <v>407738.41</v>
      </c>
      <c r="D425" s="5"/>
    </row>
    <row r="426" spans="1:4" ht="15">
      <c r="A426" s="17"/>
      <c r="B426" s="26" t="s">
        <v>774</v>
      </c>
      <c r="C426" s="20">
        <v>822878.55</v>
      </c>
      <c r="D426" s="5"/>
    </row>
    <row r="427" spans="1:4" ht="18">
      <c r="A427" s="17">
        <v>2</v>
      </c>
      <c r="B427" s="18" t="s">
        <v>620</v>
      </c>
      <c r="C427" s="21">
        <f>C428+C429+C430</f>
        <v>1977592.68</v>
      </c>
      <c r="D427" s="13"/>
    </row>
    <row r="428" spans="1:4" ht="15.75">
      <c r="A428" s="17" t="s">
        <v>621</v>
      </c>
      <c r="B428" s="102" t="s">
        <v>743</v>
      </c>
      <c r="C428" s="23">
        <f>252908.24+393904.9</f>
        <v>646813.14</v>
      </c>
      <c r="D428" s="13"/>
    </row>
    <row r="429" spans="1:4" ht="15.75">
      <c r="A429" s="17" t="s">
        <v>623</v>
      </c>
      <c r="B429" s="102" t="s">
        <v>744</v>
      </c>
      <c r="C429" s="23">
        <f>133195.48+246671.6</f>
        <v>379867.08</v>
      </c>
      <c r="D429" s="5"/>
    </row>
    <row r="430" spans="1:4" ht="15.75">
      <c r="A430" s="17" t="s">
        <v>762</v>
      </c>
      <c r="B430" s="87" t="s">
        <v>775</v>
      </c>
      <c r="C430" s="23">
        <v>950912.46</v>
      </c>
      <c r="D430" s="13"/>
    </row>
    <row r="431" spans="1:4" ht="36">
      <c r="A431" s="17">
        <v>5</v>
      </c>
      <c r="B431" s="24" t="s">
        <v>625</v>
      </c>
      <c r="C431" s="25">
        <f>C432+C435</f>
        <v>1728680.741</v>
      </c>
      <c r="D431" s="13"/>
    </row>
    <row r="432" spans="1:4" ht="18.75">
      <c r="A432" s="17"/>
      <c r="B432" s="26" t="s">
        <v>626</v>
      </c>
      <c r="C432" s="27">
        <f>C433+C434</f>
        <v>1196114.35</v>
      </c>
      <c r="D432" s="13"/>
    </row>
    <row r="433" spans="1:4" ht="15">
      <c r="A433" s="17" t="s">
        <v>627</v>
      </c>
      <c r="B433" s="28" t="s">
        <v>628</v>
      </c>
      <c r="C433" s="29">
        <f>6340*58.87</f>
        <v>373235.8</v>
      </c>
      <c r="D433" s="13"/>
    </row>
    <row r="434" spans="1:4" ht="15">
      <c r="A434" s="17" t="s">
        <v>629</v>
      </c>
      <c r="B434" s="28" t="s">
        <v>742</v>
      </c>
      <c r="C434" s="20">
        <v>822878.55</v>
      </c>
      <c r="D434" s="13"/>
    </row>
    <row r="435" spans="1:4" ht="18.75">
      <c r="A435" s="17" t="s">
        <v>763</v>
      </c>
      <c r="B435" s="26" t="s">
        <v>630</v>
      </c>
      <c r="C435" s="27">
        <f>C436+C437+C438+C439+C440+C441+C442+C443+C444+C454+C455</f>
        <v>532566.391</v>
      </c>
      <c r="D435" s="13"/>
    </row>
    <row r="436" spans="1:4" ht="25.5">
      <c r="A436" s="30" t="s">
        <v>631</v>
      </c>
      <c r="B436" s="31" t="s">
        <v>632</v>
      </c>
      <c r="C436" s="32">
        <v>122406.93</v>
      </c>
      <c r="D436" s="5"/>
    </row>
    <row r="437" spans="1:4" ht="12.75">
      <c r="A437" s="17" t="s">
        <v>633</v>
      </c>
      <c r="B437" s="33" t="s">
        <v>634</v>
      </c>
      <c r="C437" s="34">
        <v>137.64</v>
      </c>
      <c r="D437" s="5"/>
    </row>
    <row r="438" spans="1:4" ht="12.75">
      <c r="A438" s="17" t="s">
        <v>635</v>
      </c>
      <c r="B438" s="35" t="s">
        <v>746</v>
      </c>
      <c r="C438" s="34">
        <v>73109.98</v>
      </c>
      <c r="D438" s="5"/>
    </row>
    <row r="439" spans="1:4" ht="12.75">
      <c r="A439" s="17" t="s">
        <v>637</v>
      </c>
      <c r="B439" s="35" t="s">
        <v>640</v>
      </c>
      <c r="C439" s="34">
        <v>22565.52</v>
      </c>
      <c r="D439" s="5"/>
    </row>
    <row r="440" spans="1:4" ht="12.75">
      <c r="A440" s="30" t="s">
        <v>639</v>
      </c>
      <c r="B440" s="33" t="s">
        <v>776</v>
      </c>
      <c r="C440" s="34">
        <f>21.1*230*12</f>
        <v>58236</v>
      </c>
      <c r="D440" s="5"/>
    </row>
    <row r="441" spans="1:4" ht="12.75">
      <c r="A441" s="30" t="s">
        <v>641</v>
      </c>
      <c r="B441" s="104" t="s">
        <v>767</v>
      </c>
      <c r="C441" s="34">
        <v>146.54</v>
      </c>
      <c r="D441" s="5"/>
    </row>
    <row r="442" spans="1:4" ht="12.75">
      <c r="A442" s="30" t="s">
        <v>643</v>
      </c>
      <c r="B442" s="107" t="s">
        <v>750</v>
      </c>
      <c r="C442" s="91">
        <f>35*(119.5+56.3)+250</f>
        <v>6403</v>
      </c>
      <c r="D442" s="5"/>
    </row>
    <row r="443" spans="1:4" ht="12.75">
      <c r="A443" s="30" t="s">
        <v>645</v>
      </c>
      <c r="B443" s="33" t="s">
        <v>646</v>
      </c>
      <c r="C443" s="34">
        <f>C424*0.15</f>
        <v>104513.661</v>
      </c>
      <c r="D443" s="5"/>
    </row>
    <row r="444" spans="1:4" ht="12.75">
      <c r="A444" s="17" t="s">
        <v>647</v>
      </c>
      <c r="B444" s="33" t="s">
        <v>648</v>
      </c>
      <c r="C444" s="34">
        <f>C446+C447+C448+C449+C450+C451+C452+C453</f>
        <v>37620.72</v>
      </c>
      <c r="D444" s="13"/>
    </row>
    <row r="445" spans="1:4" ht="12.75">
      <c r="A445" s="17"/>
      <c r="B445" s="32" t="s">
        <v>649</v>
      </c>
      <c r="C445" s="34"/>
      <c r="D445" s="13"/>
    </row>
    <row r="446" spans="1:4" ht="12.75">
      <c r="A446" s="17"/>
      <c r="B446" s="116" t="s">
        <v>777</v>
      </c>
      <c r="C446" s="117">
        <v>1099.16</v>
      </c>
      <c r="D446" s="13"/>
    </row>
    <row r="447" spans="1:4" ht="12.75">
      <c r="A447" s="8"/>
      <c r="B447" s="116" t="s">
        <v>778</v>
      </c>
      <c r="C447" s="117">
        <v>920.95</v>
      </c>
      <c r="D447" s="5"/>
    </row>
    <row r="448" spans="1:4" ht="36">
      <c r="A448" s="8"/>
      <c r="B448" s="116" t="s">
        <v>779</v>
      </c>
      <c r="C448" s="118">
        <f>11411.22+225.66</f>
        <v>11636.88</v>
      </c>
      <c r="D448" s="5"/>
    </row>
    <row r="449" spans="1:4" ht="12.75">
      <c r="A449" s="8"/>
      <c r="B449" s="119" t="s">
        <v>780</v>
      </c>
      <c r="C449" s="118">
        <v>1368.5</v>
      </c>
      <c r="D449" s="5"/>
    </row>
    <row r="450" spans="1:4" ht="24">
      <c r="A450" s="8"/>
      <c r="B450" s="90" t="s">
        <v>781</v>
      </c>
      <c r="C450" s="41">
        <v>3200</v>
      </c>
      <c r="D450" s="5"/>
    </row>
    <row r="451" spans="1:4" ht="48">
      <c r="A451" s="8"/>
      <c r="B451" s="90" t="s">
        <v>782</v>
      </c>
      <c r="C451" s="41">
        <v>15379.69</v>
      </c>
      <c r="D451" s="5"/>
    </row>
    <row r="452" spans="1:4" ht="12.75">
      <c r="A452" s="8"/>
      <c r="B452" s="90" t="s">
        <v>783</v>
      </c>
      <c r="C452" s="41">
        <v>390.03</v>
      </c>
      <c r="D452" s="5"/>
    </row>
    <row r="453" spans="1:4" ht="24">
      <c r="A453" s="8"/>
      <c r="B453" s="90" t="s">
        <v>784</v>
      </c>
      <c r="C453" s="41">
        <v>3625.51</v>
      </c>
      <c r="D453" s="5"/>
    </row>
    <row r="454" spans="1:4" ht="24.75">
      <c r="A454" s="8" t="s">
        <v>717</v>
      </c>
      <c r="B454" s="120" t="s">
        <v>785</v>
      </c>
      <c r="C454" s="46">
        <v>100305.27</v>
      </c>
      <c r="D454" s="5"/>
    </row>
    <row r="455" spans="1:4" ht="24.75">
      <c r="A455" s="8" t="s">
        <v>786</v>
      </c>
      <c r="B455" s="40" t="s">
        <v>787</v>
      </c>
      <c r="C455" s="46">
        <f>6653.52+115+352.61</f>
        <v>7121.13</v>
      </c>
      <c r="D455" s="5"/>
    </row>
    <row r="456" spans="1:4" ht="15.75">
      <c r="A456" s="8"/>
      <c r="B456" s="40"/>
      <c r="C456" s="46"/>
      <c r="D456" s="5"/>
    </row>
    <row r="457" spans="1:4" ht="30">
      <c r="A457" s="8"/>
      <c r="B457" s="45" t="s">
        <v>650</v>
      </c>
      <c r="C457" s="46">
        <f>C427-C431</f>
        <v>248911.939</v>
      </c>
      <c r="D457" s="5"/>
    </row>
    <row r="458" spans="1:4" ht="15.75">
      <c r="A458" s="8"/>
      <c r="B458" s="45"/>
      <c r="C458" s="46"/>
      <c r="D458" s="5"/>
    </row>
    <row r="459" spans="1:4" ht="30">
      <c r="A459" s="8"/>
      <c r="B459" s="45" t="s">
        <v>768</v>
      </c>
      <c r="C459" s="46">
        <f>C428-C435</f>
        <v>114246.74900000007</v>
      </c>
      <c r="D459" s="5"/>
    </row>
    <row r="460" spans="1:4" ht="15.75">
      <c r="A460" s="8"/>
      <c r="B460" s="45" t="s">
        <v>651</v>
      </c>
      <c r="C460" s="46">
        <v>-310539.92</v>
      </c>
      <c r="D460" s="5"/>
    </row>
    <row r="461" spans="1:4" ht="15.75">
      <c r="A461" s="8"/>
      <c r="B461" s="45" t="s">
        <v>652</v>
      </c>
      <c r="C461" s="46">
        <f>SUM(C459:C460)</f>
        <v>-196293.17099999991</v>
      </c>
      <c r="D461" s="5"/>
    </row>
    <row r="462" spans="1:4" ht="15.75">
      <c r="A462" s="8"/>
      <c r="B462" s="45"/>
      <c r="C462" s="46"/>
      <c r="D462" s="5"/>
    </row>
    <row r="463" spans="1:4" ht="15.75">
      <c r="A463" s="8"/>
      <c r="B463" s="45" t="s">
        <v>653</v>
      </c>
      <c r="C463" s="46">
        <f>C427-(C422+C423)</f>
        <v>-261952.26</v>
      </c>
      <c r="D463" s="13"/>
    </row>
    <row r="464" spans="1:4" ht="15.75">
      <c r="A464" s="8"/>
      <c r="B464" s="45" t="s">
        <v>654</v>
      </c>
      <c r="C464" s="46">
        <v>-123448.78</v>
      </c>
      <c r="D464" s="5"/>
    </row>
    <row r="465" spans="1:4" ht="15.75">
      <c r="A465" s="8"/>
      <c r="B465" s="45" t="s">
        <v>726</v>
      </c>
      <c r="C465" s="46">
        <v>-80467.35</v>
      </c>
      <c r="D465" s="5"/>
    </row>
    <row r="466" spans="1:3" ht="15.75">
      <c r="A466" s="8"/>
      <c r="B466" s="98" t="s">
        <v>754</v>
      </c>
      <c r="C466" s="99">
        <v>-58036.13</v>
      </c>
    </row>
    <row r="467" spans="1:3" ht="15.75">
      <c r="A467" s="43"/>
      <c r="B467" s="110"/>
      <c r="C467" s="111"/>
    </row>
    <row r="468" spans="1:2" ht="12.75">
      <c r="A468" s="43"/>
      <c r="B468" t="s">
        <v>755</v>
      </c>
    </row>
    <row r="469" ht="12.75">
      <c r="B469" t="s">
        <v>756</v>
      </c>
    </row>
    <row r="470" ht="12.75">
      <c r="B470" t="s">
        <v>757</v>
      </c>
    </row>
    <row r="471" spans="2:3" ht="12.75">
      <c r="B471" t="s">
        <v>788</v>
      </c>
      <c r="C471" s="112">
        <f>6340*58.87</f>
        <v>373235.8</v>
      </c>
    </row>
    <row r="472" spans="2:3" ht="12.75">
      <c r="B472" t="s">
        <v>789</v>
      </c>
      <c r="C472" s="113">
        <f>5851.3*58.87</f>
        <v>344466.031</v>
      </c>
    </row>
    <row r="473" spans="2:3" ht="15">
      <c r="B473" s="114" t="s">
        <v>790</v>
      </c>
      <c r="C473" s="115">
        <f>C471-C472</f>
        <v>28769.76899999997</v>
      </c>
    </row>
    <row r="474" ht="51.75" customHeight="1"/>
    <row r="475" spans="2:4" ht="15">
      <c r="B475" s="196" t="s">
        <v>609</v>
      </c>
      <c r="C475" s="196"/>
      <c r="D475" s="196"/>
    </row>
    <row r="476" spans="2:4" ht="15">
      <c r="B476" s="197" t="s">
        <v>704</v>
      </c>
      <c r="C476" s="197"/>
      <c r="D476" s="1"/>
    </row>
    <row r="477" spans="2:4" ht="18.75">
      <c r="B477" s="198" t="s">
        <v>791</v>
      </c>
      <c r="C477" s="198"/>
      <c r="D477" s="198"/>
    </row>
    <row r="478" spans="2:4" ht="15.75">
      <c r="B478" s="199" t="s">
        <v>612</v>
      </c>
      <c r="C478" s="199"/>
      <c r="D478" s="199"/>
    </row>
    <row r="479" spans="2:4" ht="14.25">
      <c r="B479" s="6"/>
      <c r="C479" s="7"/>
      <c r="D479" s="5"/>
    </row>
    <row r="480" spans="1:4" ht="15">
      <c r="A480" s="8"/>
      <c r="B480" s="9" t="s">
        <v>613</v>
      </c>
      <c r="C480" s="10">
        <v>3314</v>
      </c>
      <c r="D480" s="5"/>
    </row>
    <row r="481" spans="1:4" ht="12.75">
      <c r="A481" s="8"/>
      <c r="B481" s="11" t="s">
        <v>614</v>
      </c>
      <c r="C481" s="12">
        <v>4.83</v>
      </c>
      <c r="D481" s="13"/>
    </row>
    <row r="482" spans="1:4" ht="12.75">
      <c r="A482" s="8"/>
      <c r="B482" s="14" t="s">
        <v>615</v>
      </c>
      <c r="C482" s="12">
        <v>8.23</v>
      </c>
      <c r="D482" s="13"/>
    </row>
    <row r="483" spans="1:4" ht="18.75">
      <c r="A483" s="8"/>
      <c r="B483" s="15" t="s">
        <v>616</v>
      </c>
      <c r="C483" s="16">
        <v>228793.95</v>
      </c>
      <c r="D483" s="13"/>
    </row>
    <row r="484" spans="1:4" ht="18.75">
      <c r="A484" s="17">
        <v>1</v>
      </c>
      <c r="B484" s="18" t="s">
        <v>617</v>
      </c>
      <c r="C484" s="16">
        <f>C485+C486+C487</f>
        <v>1710854.2999999998</v>
      </c>
      <c r="D484" s="5"/>
    </row>
    <row r="485" spans="1:4" ht="15">
      <c r="A485" s="17"/>
      <c r="B485" s="19" t="s">
        <v>618</v>
      </c>
      <c r="C485" s="20">
        <f>190913.7+325408.63</f>
        <v>516322.33</v>
      </c>
      <c r="D485" s="5"/>
    </row>
    <row r="486" spans="1:4" ht="15">
      <c r="A486" s="17"/>
      <c r="B486" s="19" t="s">
        <v>619</v>
      </c>
      <c r="C486" s="20">
        <f>93035.15+170212.74</f>
        <v>263247.89</v>
      </c>
      <c r="D486" s="5"/>
    </row>
    <row r="487" spans="1:4" ht="15">
      <c r="A487" s="17"/>
      <c r="B487" s="26" t="s">
        <v>774</v>
      </c>
      <c r="C487" s="20">
        <v>931284.08</v>
      </c>
      <c r="D487" s="5"/>
    </row>
    <row r="488" spans="1:4" ht="18">
      <c r="A488" s="17">
        <v>2</v>
      </c>
      <c r="B488" s="18" t="s">
        <v>620</v>
      </c>
      <c r="C488" s="21">
        <f>C489+C490+C491</f>
        <v>1688332.96</v>
      </c>
      <c r="D488" s="13"/>
    </row>
    <row r="489" spans="1:4" ht="15.75">
      <c r="A489" s="17" t="s">
        <v>621</v>
      </c>
      <c r="B489" s="102" t="s">
        <v>743</v>
      </c>
      <c r="C489" s="23">
        <f>183735.51+308113.05</f>
        <v>491848.56</v>
      </c>
      <c r="D489" s="13"/>
    </row>
    <row r="490" spans="1:4" ht="15.75">
      <c r="A490" s="17" t="s">
        <v>623</v>
      </c>
      <c r="B490" s="102" t="s">
        <v>744</v>
      </c>
      <c r="C490" s="23">
        <f>86821.36+160513.32</f>
        <v>247334.68</v>
      </c>
      <c r="D490" s="5"/>
    </row>
    <row r="491" spans="1:4" ht="15.75">
      <c r="A491" s="17" t="s">
        <v>762</v>
      </c>
      <c r="B491" s="26" t="s">
        <v>792</v>
      </c>
      <c r="C491" s="23">
        <v>949149.72</v>
      </c>
      <c r="D491" s="13"/>
    </row>
    <row r="492" spans="1:4" ht="36">
      <c r="A492" s="17">
        <v>5</v>
      </c>
      <c r="B492" s="24" t="s">
        <v>625</v>
      </c>
      <c r="C492" s="25">
        <f>C493+C496</f>
        <v>1918897.8994999998</v>
      </c>
      <c r="D492" s="13"/>
    </row>
    <row r="493" spans="1:4" ht="18.75">
      <c r="A493" s="17"/>
      <c r="B493" s="26" t="s">
        <v>626</v>
      </c>
      <c r="C493" s="27">
        <f>C494+C495</f>
        <v>1204852.97</v>
      </c>
      <c r="D493" s="13"/>
    </row>
    <row r="494" spans="1:4" ht="15">
      <c r="A494" s="17" t="s">
        <v>627</v>
      </c>
      <c r="B494" s="28" t="s">
        <v>628</v>
      </c>
      <c r="C494" s="29">
        <f>4647*58.87</f>
        <v>273568.89</v>
      </c>
      <c r="D494" s="13"/>
    </row>
    <row r="495" spans="1:4" ht="15">
      <c r="A495" s="17" t="s">
        <v>629</v>
      </c>
      <c r="B495" s="28" t="s">
        <v>742</v>
      </c>
      <c r="C495" s="20">
        <v>931284.08</v>
      </c>
      <c r="D495" s="13"/>
    </row>
    <row r="496" spans="1:4" ht="18.75">
      <c r="A496" s="17" t="s">
        <v>763</v>
      </c>
      <c r="B496" s="26" t="s">
        <v>630</v>
      </c>
      <c r="C496" s="27">
        <f>C497+C498+C499+C500+C501+C502+C503+C504+C505+C506+C509+C510</f>
        <v>714044.9295</v>
      </c>
      <c r="D496" s="13"/>
    </row>
    <row r="497" spans="1:4" ht="25.5">
      <c r="A497" s="30" t="s">
        <v>631</v>
      </c>
      <c r="B497" s="31" t="s">
        <v>632</v>
      </c>
      <c r="C497" s="32">
        <v>83953.19</v>
      </c>
      <c r="D497" s="5"/>
    </row>
    <row r="498" spans="1:4" ht="12.75">
      <c r="A498" s="17" t="s">
        <v>633</v>
      </c>
      <c r="B498" s="33" t="s">
        <v>793</v>
      </c>
      <c r="C498" s="34">
        <v>103.65</v>
      </c>
      <c r="D498" s="5"/>
    </row>
    <row r="499" spans="1:4" ht="12.75">
      <c r="A499" s="17" t="s">
        <v>635</v>
      </c>
      <c r="B499" s="35" t="s">
        <v>794</v>
      </c>
      <c r="C499" s="34">
        <v>86839.83</v>
      </c>
      <c r="D499" s="5"/>
    </row>
    <row r="500" spans="1:4" ht="12.75">
      <c r="A500" s="17" t="s">
        <v>637</v>
      </c>
      <c r="B500" s="35" t="s">
        <v>795</v>
      </c>
      <c r="C500" s="34">
        <f>5102*2.79</f>
        <v>14234.58</v>
      </c>
      <c r="D500" s="5"/>
    </row>
    <row r="501" spans="1:4" ht="12.75">
      <c r="A501" s="30" t="s">
        <v>639</v>
      </c>
      <c r="B501" s="33" t="s">
        <v>796</v>
      </c>
      <c r="C501" s="34">
        <f>15.3*230*12</f>
        <v>42228</v>
      </c>
      <c r="D501" s="5"/>
    </row>
    <row r="502" spans="1:4" ht="25.5">
      <c r="A502" s="30"/>
      <c r="B502" s="105" t="s">
        <v>749</v>
      </c>
      <c r="C502" s="34">
        <v>72832.23</v>
      </c>
      <c r="D502" s="5"/>
    </row>
    <row r="503" spans="1:4" ht="12.75">
      <c r="A503" s="30" t="s">
        <v>641</v>
      </c>
      <c r="B503" s="37" t="s">
        <v>797</v>
      </c>
      <c r="C503" s="34">
        <v>1480</v>
      </c>
      <c r="D503" s="5"/>
    </row>
    <row r="504" spans="1:4" ht="12.75">
      <c r="A504" s="30" t="s">
        <v>643</v>
      </c>
      <c r="B504" s="107" t="s">
        <v>798</v>
      </c>
      <c r="C504" s="34">
        <v>5875.6</v>
      </c>
      <c r="D504" s="5"/>
    </row>
    <row r="505" spans="1:4" ht="12.75">
      <c r="A505" s="30" t="s">
        <v>645</v>
      </c>
      <c r="B505" s="33" t="s">
        <v>646</v>
      </c>
      <c r="C505" s="34">
        <f>C485*0.15</f>
        <v>77448.3495</v>
      </c>
      <c r="D505" s="5"/>
    </row>
    <row r="506" spans="1:4" ht="12.75">
      <c r="A506" s="17" t="s">
        <v>647</v>
      </c>
      <c r="B506" s="33" t="s">
        <v>648</v>
      </c>
      <c r="C506" s="34">
        <f>C508</f>
        <v>2881.84</v>
      </c>
      <c r="D506" s="13"/>
    </row>
    <row r="507" spans="1:4" ht="12.75">
      <c r="A507" s="17"/>
      <c r="B507" s="32" t="s">
        <v>649</v>
      </c>
      <c r="C507" s="34"/>
      <c r="D507" s="13"/>
    </row>
    <row r="508" spans="1:4" ht="12.75">
      <c r="A508" s="17"/>
      <c r="B508" s="37" t="s">
        <v>799</v>
      </c>
      <c r="C508" s="78">
        <f>521.94+2359.9</f>
        <v>2881.84</v>
      </c>
      <c r="D508" s="13"/>
    </row>
    <row r="509" spans="1:4" ht="24.75">
      <c r="A509" s="8" t="s">
        <v>717</v>
      </c>
      <c r="B509" s="121" t="s">
        <v>800</v>
      </c>
      <c r="C509" s="46">
        <v>62001</v>
      </c>
      <c r="D509" s="5"/>
    </row>
    <row r="510" spans="1:4" ht="25.5" thickBot="1">
      <c r="A510" s="8" t="s">
        <v>786</v>
      </c>
      <c r="B510" s="121" t="s">
        <v>801</v>
      </c>
      <c r="C510" s="122">
        <v>264166.66</v>
      </c>
      <c r="D510" s="5"/>
    </row>
    <row r="511" spans="1:4" ht="30">
      <c r="A511" s="8"/>
      <c r="B511" s="45" t="s">
        <v>802</v>
      </c>
      <c r="C511" s="46">
        <f>C488-C492</f>
        <v>-230564.93949999986</v>
      </c>
      <c r="D511" s="5"/>
    </row>
    <row r="512" spans="1:4" ht="30">
      <c r="A512" s="8"/>
      <c r="B512" s="45" t="s">
        <v>768</v>
      </c>
      <c r="C512" s="46">
        <f>C489-C496</f>
        <v>-222196.36949999997</v>
      </c>
      <c r="D512" s="5"/>
    </row>
    <row r="513" spans="1:4" ht="15.75">
      <c r="A513" s="8"/>
      <c r="B513" s="45" t="s">
        <v>651</v>
      </c>
      <c r="C513" s="46">
        <v>-125084.57</v>
      </c>
      <c r="D513" s="5"/>
    </row>
    <row r="514" spans="1:4" ht="15.75">
      <c r="A514" s="8"/>
      <c r="B514" s="45" t="s">
        <v>652</v>
      </c>
      <c r="C514" s="46">
        <f>SUM(C512:C513)</f>
        <v>-347280.9395</v>
      </c>
      <c r="D514" s="5"/>
    </row>
    <row r="515" spans="1:4" ht="15.75">
      <c r="A515" s="8"/>
      <c r="B515" s="45" t="s">
        <v>653</v>
      </c>
      <c r="C515" s="46">
        <f>C488-(C483+C484)</f>
        <v>-251315.2899999998</v>
      </c>
      <c r="D515" s="13"/>
    </row>
    <row r="516" spans="1:4" ht="15.75">
      <c r="A516" s="8"/>
      <c r="B516" s="45" t="s">
        <v>654</v>
      </c>
      <c r="C516" s="46">
        <v>-70462.01</v>
      </c>
      <c r="D516" s="5"/>
    </row>
    <row r="517" spans="1:4" ht="15.75">
      <c r="A517" s="8"/>
      <c r="B517" s="45" t="s">
        <v>726</v>
      </c>
      <c r="C517" s="46">
        <v>-40206.1</v>
      </c>
      <c r="D517" s="5"/>
    </row>
    <row r="518" spans="1:3" ht="15.75">
      <c r="A518" s="8"/>
      <c r="B518" s="98" t="s">
        <v>754</v>
      </c>
      <c r="C518" s="99">
        <v>-140647.18</v>
      </c>
    </row>
    <row r="519" spans="1:3" ht="15.75">
      <c r="A519" s="43"/>
      <c r="B519" s="110"/>
      <c r="C519" s="111"/>
    </row>
    <row r="520" spans="1:2" ht="12.75">
      <c r="A520" s="43"/>
      <c r="B520" t="s">
        <v>755</v>
      </c>
    </row>
    <row r="521" ht="12.75">
      <c r="B521" t="s">
        <v>756</v>
      </c>
    </row>
    <row r="522" ht="12.75">
      <c r="B522" t="s">
        <v>757</v>
      </c>
    </row>
    <row r="523" spans="2:3" ht="12.75">
      <c r="B523" t="s">
        <v>803</v>
      </c>
      <c r="C523" s="112">
        <f>4647*58.87</f>
        <v>273568.89</v>
      </c>
    </row>
    <row r="524" spans="2:3" ht="12.75">
      <c r="B524" t="s">
        <v>804</v>
      </c>
      <c r="C524" s="113">
        <f>4183.6*58.87</f>
        <v>246288.532</v>
      </c>
    </row>
    <row r="525" spans="2:3" ht="15">
      <c r="B525" s="114" t="s">
        <v>805</v>
      </c>
      <c r="C525" s="115">
        <f>C523-C524</f>
        <v>27280.358000000007</v>
      </c>
    </row>
    <row r="526" ht="51" customHeight="1"/>
    <row r="527" spans="2:4" ht="15">
      <c r="B527" s="196" t="s">
        <v>609</v>
      </c>
      <c r="C527" s="196"/>
      <c r="D527" s="196"/>
    </row>
    <row r="528" spans="2:4" ht="15">
      <c r="B528" s="197" t="s">
        <v>610</v>
      </c>
      <c r="C528" s="197"/>
      <c r="D528" s="1"/>
    </row>
    <row r="529" spans="2:4" ht="18.75">
      <c r="B529" s="198" t="s">
        <v>806</v>
      </c>
      <c r="C529" s="198"/>
      <c r="D529" s="198"/>
    </row>
    <row r="530" spans="2:4" ht="15.75">
      <c r="B530" s="199" t="s">
        <v>612</v>
      </c>
      <c r="C530" s="199"/>
      <c r="D530" s="199"/>
    </row>
    <row r="531" spans="2:4" ht="12.75">
      <c r="B531" s="3"/>
      <c r="C531" s="4"/>
      <c r="D531" s="5"/>
    </row>
    <row r="532" spans="2:4" ht="14.25">
      <c r="B532" s="6"/>
      <c r="C532" s="7"/>
      <c r="D532" s="5"/>
    </row>
    <row r="533" spans="1:4" ht="15">
      <c r="A533" s="8"/>
      <c r="B533" s="9" t="s">
        <v>613</v>
      </c>
      <c r="C533" s="10">
        <v>397.8</v>
      </c>
      <c r="D533" s="5"/>
    </row>
    <row r="534" spans="1:4" ht="12.75">
      <c r="A534" s="8"/>
      <c r="B534" s="11" t="s">
        <v>614</v>
      </c>
      <c r="C534" s="12">
        <v>4.28</v>
      </c>
      <c r="D534" s="13"/>
    </row>
    <row r="535" spans="1:4" ht="12.75">
      <c r="A535" s="8"/>
      <c r="B535" s="14" t="s">
        <v>615</v>
      </c>
      <c r="C535" s="12">
        <v>7.34</v>
      </c>
      <c r="D535" s="13"/>
    </row>
    <row r="536" spans="1:4" ht="18.75">
      <c r="A536" s="8"/>
      <c r="B536" s="15" t="s">
        <v>616</v>
      </c>
      <c r="C536" s="16">
        <v>6406.89</v>
      </c>
      <c r="D536" s="13"/>
    </row>
    <row r="537" spans="1:4" ht="18.75">
      <c r="A537" s="17">
        <v>1</v>
      </c>
      <c r="B537" s="18" t="s">
        <v>617</v>
      </c>
      <c r="C537" s="16">
        <f>C538+C539</f>
        <v>60805.8</v>
      </c>
      <c r="D537" s="5"/>
    </row>
    <row r="538" spans="1:4" ht="15">
      <c r="A538" s="17"/>
      <c r="B538" s="19" t="s">
        <v>618</v>
      </c>
      <c r="C538" s="20">
        <f>20443.04+35058.76</f>
        <v>55501.8</v>
      </c>
      <c r="D538" s="5"/>
    </row>
    <row r="539" spans="1:4" ht="15">
      <c r="A539" s="17"/>
      <c r="B539" s="19" t="s">
        <v>807</v>
      </c>
      <c r="C539" s="20">
        <v>5304</v>
      </c>
      <c r="D539" s="5"/>
    </row>
    <row r="540" spans="1:4" ht="18">
      <c r="A540" s="17">
        <v>2</v>
      </c>
      <c r="B540" s="18" t="s">
        <v>620</v>
      </c>
      <c r="C540" s="21">
        <f>C541+C542</f>
        <v>56304.62</v>
      </c>
      <c r="D540" s="5"/>
    </row>
    <row r="541" spans="1:4" ht="15.75">
      <c r="A541" s="17" t="s">
        <v>621</v>
      </c>
      <c r="B541" s="102" t="s">
        <v>743</v>
      </c>
      <c r="C541" s="23">
        <f>18844.74+32313.67</f>
        <v>51158.41</v>
      </c>
      <c r="D541" s="5"/>
    </row>
    <row r="542" spans="1:4" ht="15.75">
      <c r="A542" s="17" t="s">
        <v>623</v>
      </c>
      <c r="B542" s="102" t="s">
        <v>808</v>
      </c>
      <c r="C542" s="23">
        <v>5146.21</v>
      </c>
      <c r="D542" s="5"/>
    </row>
    <row r="543" spans="1:4" ht="36">
      <c r="A543" s="17">
        <v>5</v>
      </c>
      <c r="B543" s="24" t="s">
        <v>625</v>
      </c>
      <c r="C543" s="85">
        <f>C544+C546</f>
        <v>42879.850000000006</v>
      </c>
      <c r="D543" s="5"/>
    </row>
    <row r="544" spans="1:4" ht="18.75">
      <c r="A544" s="17"/>
      <c r="B544" s="26" t="s">
        <v>626</v>
      </c>
      <c r="C544" s="27">
        <f>C545</f>
        <v>7384</v>
      </c>
      <c r="D544" s="5"/>
    </row>
    <row r="545" spans="1:4" ht="15">
      <c r="A545" s="17" t="s">
        <v>627</v>
      </c>
      <c r="B545" s="28" t="s">
        <v>628</v>
      </c>
      <c r="C545" s="29">
        <f>355*20.8</f>
        <v>7384</v>
      </c>
      <c r="D545" s="5"/>
    </row>
    <row r="546" spans="1:4" ht="18.75">
      <c r="A546" s="17" t="s">
        <v>629</v>
      </c>
      <c r="B546" s="26" t="s">
        <v>630</v>
      </c>
      <c r="C546" s="27">
        <f>C547+C548+C549+C550+C551+C552</f>
        <v>35495.850000000006</v>
      </c>
      <c r="D546" s="5"/>
    </row>
    <row r="547" spans="1:4" ht="25.5">
      <c r="A547" s="30" t="s">
        <v>631</v>
      </c>
      <c r="B547" s="31" t="s">
        <v>632</v>
      </c>
      <c r="C547" s="32">
        <v>12852.12</v>
      </c>
      <c r="D547" s="5"/>
    </row>
    <row r="548" spans="1:4" ht="12.75">
      <c r="A548" s="17" t="s">
        <v>633</v>
      </c>
      <c r="B548" s="33" t="s">
        <v>634</v>
      </c>
      <c r="C548" s="34">
        <v>27.47</v>
      </c>
      <c r="D548" s="5"/>
    </row>
    <row r="549" spans="1:4" ht="12.75">
      <c r="A549" s="17" t="s">
        <v>637</v>
      </c>
      <c r="B549" s="35" t="s">
        <v>640</v>
      </c>
      <c r="C549" s="34">
        <v>1314.09</v>
      </c>
      <c r="D549" s="5"/>
    </row>
    <row r="550" spans="1:4" ht="12.75">
      <c r="A550" s="30" t="s">
        <v>639</v>
      </c>
      <c r="B550" s="33" t="s">
        <v>687</v>
      </c>
      <c r="C550" s="34">
        <f>1.4*230*12</f>
        <v>3864</v>
      </c>
      <c r="D550" s="5"/>
    </row>
    <row r="551" spans="1:3" ht="12.75">
      <c r="A551" s="30" t="s">
        <v>641</v>
      </c>
      <c r="B551" s="33" t="s">
        <v>646</v>
      </c>
      <c r="C551" s="34">
        <f>C538*0.15</f>
        <v>8325.27</v>
      </c>
    </row>
    <row r="552" spans="1:3" ht="12.75">
      <c r="A552" s="17" t="s">
        <v>643</v>
      </c>
      <c r="B552" s="33" t="s">
        <v>648</v>
      </c>
      <c r="C552" s="34">
        <f>C554+C555+C556+C557+C558</f>
        <v>9112.900000000001</v>
      </c>
    </row>
    <row r="553" spans="1:3" ht="12.75">
      <c r="A553" s="17"/>
      <c r="B553" s="39" t="s">
        <v>649</v>
      </c>
      <c r="C553" s="34"/>
    </row>
    <row r="554" spans="1:3" ht="12.75">
      <c r="A554" s="17"/>
      <c r="B554" s="37" t="s">
        <v>809</v>
      </c>
      <c r="C554" s="41">
        <v>490.87</v>
      </c>
    </row>
    <row r="555" spans="1:4" ht="12.75">
      <c r="A555" s="8"/>
      <c r="B555" s="37" t="s">
        <v>810</v>
      </c>
      <c r="C555" s="41">
        <v>327.25</v>
      </c>
      <c r="D555" s="43"/>
    </row>
    <row r="556" spans="1:4" ht="12.75">
      <c r="A556" s="8"/>
      <c r="B556" s="37" t="s">
        <v>811</v>
      </c>
      <c r="C556" s="41">
        <v>5342.1</v>
      </c>
      <c r="D556" s="43"/>
    </row>
    <row r="557" spans="1:4" ht="12.75">
      <c r="A557" s="8"/>
      <c r="B557" s="37" t="s">
        <v>812</v>
      </c>
      <c r="C557" s="41">
        <v>2562.65</v>
      </c>
      <c r="D557" s="43"/>
    </row>
    <row r="558" spans="1:4" ht="12.75">
      <c r="A558" s="8"/>
      <c r="B558" s="40" t="s">
        <v>813</v>
      </c>
      <c r="C558" s="41">
        <v>390.03</v>
      </c>
      <c r="D558" s="43"/>
    </row>
    <row r="559" spans="1:4" ht="30">
      <c r="A559" s="8"/>
      <c r="B559" s="45" t="s">
        <v>664</v>
      </c>
      <c r="C559" s="46">
        <f>C540-C543</f>
        <v>13424.769999999997</v>
      </c>
      <c r="D559" s="43"/>
    </row>
    <row r="560" spans="1:4" ht="12.75">
      <c r="A560" s="8"/>
      <c r="B560" s="47"/>
      <c r="C560" s="41"/>
      <c r="D560" s="43"/>
    </row>
    <row r="561" spans="1:4" ht="12.75">
      <c r="A561" s="8"/>
      <c r="B561" s="47"/>
      <c r="C561" s="41"/>
      <c r="D561" s="43"/>
    </row>
    <row r="562" spans="1:3" ht="15.75">
      <c r="A562" s="8"/>
      <c r="B562" s="45" t="s">
        <v>653</v>
      </c>
      <c r="C562" s="46">
        <f>C540-(C536+C537)</f>
        <v>-10908.07</v>
      </c>
    </row>
    <row r="563" spans="1:3" ht="15.75">
      <c r="A563" s="8"/>
      <c r="B563" s="45" t="s">
        <v>654</v>
      </c>
      <c r="C563" s="46">
        <v>-10457.75</v>
      </c>
    </row>
    <row r="564" spans="1:3" ht="15.75">
      <c r="A564" s="8"/>
      <c r="B564" s="45" t="s">
        <v>655</v>
      </c>
      <c r="C564" s="46">
        <v>-450.32</v>
      </c>
    </row>
    <row r="565" ht="52.5" customHeight="1"/>
    <row r="566" spans="2:4" ht="15">
      <c r="B566" s="196" t="s">
        <v>609</v>
      </c>
      <c r="C566" s="196"/>
      <c r="D566" s="196"/>
    </row>
    <row r="567" spans="2:4" ht="15">
      <c r="B567" s="197" t="s">
        <v>610</v>
      </c>
      <c r="C567" s="197"/>
      <c r="D567" s="1"/>
    </row>
    <row r="568" spans="2:4" ht="18.75">
      <c r="B568" s="198" t="s">
        <v>814</v>
      </c>
      <c r="C568" s="198"/>
      <c r="D568" s="198"/>
    </row>
    <row r="569" spans="2:4" ht="15.75">
      <c r="B569" s="199" t="s">
        <v>612</v>
      </c>
      <c r="C569" s="199"/>
      <c r="D569" s="199"/>
    </row>
    <row r="570" spans="2:4" ht="12.75">
      <c r="B570" s="3"/>
      <c r="C570" s="4"/>
      <c r="D570" s="5"/>
    </row>
    <row r="571" spans="2:4" ht="14.25">
      <c r="B571" s="6"/>
      <c r="C571" s="7"/>
      <c r="D571" s="5"/>
    </row>
    <row r="572" spans="1:4" ht="15">
      <c r="A572" s="8"/>
      <c r="B572" s="9" t="s">
        <v>613</v>
      </c>
      <c r="C572" s="10">
        <v>393.1</v>
      </c>
      <c r="D572" s="5"/>
    </row>
    <row r="573" spans="1:4" ht="12.75">
      <c r="A573" s="8"/>
      <c r="B573" s="11" t="s">
        <v>614</v>
      </c>
      <c r="C573" s="12">
        <v>4.28</v>
      </c>
      <c r="D573" s="13"/>
    </row>
    <row r="574" spans="1:4" ht="12.75">
      <c r="A574" s="8"/>
      <c r="B574" s="14" t="s">
        <v>615</v>
      </c>
      <c r="C574" s="12">
        <v>7.34</v>
      </c>
      <c r="D574" s="13"/>
    </row>
    <row r="575" spans="1:4" ht="18.75">
      <c r="A575" s="8"/>
      <c r="B575" s="15" t="s">
        <v>616</v>
      </c>
      <c r="C575" s="16">
        <f>977.01+1674.31+275.21</f>
        <v>2926.5299999999997</v>
      </c>
      <c r="D575" s="13"/>
    </row>
    <row r="576" spans="1:4" ht="18.75">
      <c r="A576" s="17">
        <v>1</v>
      </c>
      <c r="B576" s="18" t="s">
        <v>617</v>
      </c>
      <c r="C576" s="16">
        <f>C577+C578</f>
        <v>60467.84</v>
      </c>
      <c r="D576" s="5"/>
    </row>
    <row r="577" spans="1:4" ht="15">
      <c r="A577" s="17"/>
      <c r="B577" s="19" t="s">
        <v>618</v>
      </c>
      <c r="C577" s="20">
        <f>19788.36+33940.28</f>
        <v>53728.64</v>
      </c>
      <c r="D577" s="5"/>
    </row>
    <row r="578" spans="1:4" ht="15">
      <c r="A578" s="17"/>
      <c r="B578" s="19" t="s">
        <v>807</v>
      </c>
      <c r="C578" s="20">
        <v>6739.2</v>
      </c>
      <c r="D578" s="5"/>
    </row>
    <row r="579" spans="1:4" ht="18">
      <c r="A579" s="17">
        <v>2</v>
      </c>
      <c r="B579" s="18" t="s">
        <v>620</v>
      </c>
      <c r="C579" s="21">
        <f>C580+C581</f>
        <v>60364.299999999996</v>
      </c>
      <c r="D579" s="5"/>
    </row>
    <row r="580" spans="1:4" ht="15.75">
      <c r="A580" s="17" t="s">
        <v>621</v>
      </c>
      <c r="B580" s="102" t="s">
        <v>743</v>
      </c>
      <c r="C580" s="23">
        <f>19717.23+33816.78</f>
        <v>53534.009999999995</v>
      </c>
      <c r="D580" s="5"/>
    </row>
    <row r="581" spans="1:4" ht="15.75">
      <c r="A581" s="17" t="s">
        <v>623</v>
      </c>
      <c r="B581" s="102" t="s">
        <v>808</v>
      </c>
      <c r="C581" s="23">
        <v>6830.29</v>
      </c>
      <c r="D581" s="5"/>
    </row>
    <row r="582" spans="1:4" ht="36">
      <c r="A582" s="17">
        <v>5</v>
      </c>
      <c r="B582" s="24" t="s">
        <v>625</v>
      </c>
      <c r="C582" s="85">
        <f>C583+C585</f>
        <v>66443.75600000001</v>
      </c>
      <c r="D582" s="5"/>
    </row>
    <row r="583" spans="1:4" ht="18.75">
      <c r="A583" s="17"/>
      <c r="B583" s="26" t="s">
        <v>626</v>
      </c>
      <c r="C583" s="27">
        <f>C584</f>
        <v>6427.2</v>
      </c>
      <c r="D583" s="5"/>
    </row>
    <row r="584" spans="1:4" ht="15">
      <c r="A584" s="17" t="s">
        <v>627</v>
      </c>
      <c r="B584" s="28" t="s">
        <v>628</v>
      </c>
      <c r="C584" s="29">
        <f>309*20.8</f>
        <v>6427.2</v>
      </c>
      <c r="D584" s="5"/>
    </row>
    <row r="585" spans="1:4" ht="18.75">
      <c r="A585" s="17" t="s">
        <v>629</v>
      </c>
      <c r="B585" s="26" t="s">
        <v>630</v>
      </c>
      <c r="C585" s="27">
        <f>C586+C587+C588+C589+C590+C591</f>
        <v>60016.55600000001</v>
      </c>
      <c r="D585" s="5"/>
    </row>
    <row r="586" spans="1:4" ht="25.5">
      <c r="A586" s="30" t="s">
        <v>631</v>
      </c>
      <c r="B586" s="31" t="s">
        <v>632</v>
      </c>
      <c r="C586" s="32">
        <v>12153.11</v>
      </c>
      <c r="D586" s="5"/>
    </row>
    <row r="587" spans="1:4" ht="12.75">
      <c r="A587" s="17" t="s">
        <v>633</v>
      </c>
      <c r="B587" s="33" t="s">
        <v>634</v>
      </c>
      <c r="C587" s="34">
        <v>27.9</v>
      </c>
      <c r="D587" s="5"/>
    </row>
    <row r="588" spans="1:4" ht="12.75">
      <c r="A588" s="17" t="s">
        <v>637</v>
      </c>
      <c r="B588" s="35" t="s">
        <v>640</v>
      </c>
      <c r="C588" s="34">
        <v>1249.92</v>
      </c>
      <c r="D588" s="5"/>
    </row>
    <row r="589" spans="1:4" ht="12.75">
      <c r="A589" s="30" t="s">
        <v>639</v>
      </c>
      <c r="B589" s="33" t="s">
        <v>687</v>
      </c>
      <c r="C589" s="34">
        <f>1.4*230*12</f>
        <v>3864</v>
      </c>
      <c r="D589" s="5"/>
    </row>
    <row r="590" spans="1:3" ht="12.75">
      <c r="A590" s="30" t="s">
        <v>641</v>
      </c>
      <c r="B590" s="33" t="s">
        <v>646</v>
      </c>
      <c r="C590" s="34">
        <f>C577*0.15</f>
        <v>8059.295999999999</v>
      </c>
    </row>
    <row r="591" spans="1:3" ht="12.75">
      <c r="A591" s="17" t="s">
        <v>643</v>
      </c>
      <c r="B591" s="33" t="s">
        <v>648</v>
      </c>
      <c r="C591" s="34">
        <f>C593+C594+C595+C596+C597+C598+C599</f>
        <v>34662.33000000001</v>
      </c>
    </row>
    <row r="592" spans="1:3" ht="12.75">
      <c r="A592" s="17"/>
      <c r="B592" s="39" t="s">
        <v>649</v>
      </c>
      <c r="C592" s="34"/>
    </row>
    <row r="593" spans="1:3" ht="12.75">
      <c r="A593" s="17"/>
      <c r="B593" s="36" t="s">
        <v>815</v>
      </c>
      <c r="C593" s="123">
        <v>163.62</v>
      </c>
    </row>
    <row r="594" spans="1:4" ht="12.75">
      <c r="A594" s="8"/>
      <c r="B594" s="37" t="s">
        <v>816</v>
      </c>
      <c r="C594" s="41">
        <v>1330.44</v>
      </c>
      <c r="D594" s="43"/>
    </row>
    <row r="595" spans="1:4" ht="36">
      <c r="A595" s="8"/>
      <c r="B595" s="37" t="s">
        <v>817</v>
      </c>
      <c r="C595" s="41">
        <f>16660.9+205.38+774.33</f>
        <v>17640.610000000004</v>
      </c>
      <c r="D595" s="43"/>
    </row>
    <row r="596" spans="1:4" ht="12.75">
      <c r="A596" s="8"/>
      <c r="B596" s="37" t="s">
        <v>818</v>
      </c>
      <c r="C596" s="41">
        <v>405.39</v>
      </c>
      <c r="D596" s="43"/>
    </row>
    <row r="597" spans="1:4" ht="12.75">
      <c r="A597" s="8"/>
      <c r="B597" s="37" t="s">
        <v>812</v>
      </c>
      <c r="C597" s="41">
        <v>2562.65</v>
      </c>
      <c r="D597" s="43"/>
    </row>
    <row r="598" spans="1:4" ht="24">
      <c r="A598" s="8"/>
      <c r="B598" s="124" t="s">
        <v>819</v>
      </c>
      <c r="C598" s="93">
        <v>10727.72</v>
      </c>
      <c r="D598" s="43"/>
    </row>
    <row r="599" spans="1:4" ht="12.75">
      <c r="A599" s="8"/>
      <c r="B599" s="37" t="s">
        <v>820</v>
      </c>
      <c r="C599" s="41">
        <v>1831.9</v>
      </c>
      <c r="D599" s="43"/>
    </row>
    <row r="600" spans="1:4" ht="30">
      <c r="A600" s="8"/>
      <c r="B600" s="45" t="s">
        <v>664</v>
      </c>
      <c r="C600" s="46">
        <f>C579-C582</f>
        <v>-6079.456000000013</v>
      </c>
      <c r="D600" s="43"/>
    </row>
    <row r="601" spans="1:4" ht="12.75">
      <c r="A601" s="8"/>
      <c r="B601" s="47"/>
      <c r="C601" s="41"/>
      <c r="D601" s="43"/>
    </row>
    <row r="602" spans="1:4" ht="30">
      <c r="A602" s="8"/>
      <c r="B602" s="45" t="s">
        <v>821</v>
      </c>
      <c r="C602" s="46">
        <f>C580-C585</f>
        <v>-6482.546000000017</v>
      </c>
      <c r="D602" s="43"/>
    </row>
    <row r="603" spans="1:4" ht="15.75">
      <c r="A603" s="8"/>
      <c r="B603" s="45" t="s">
        <v>651</v>
      </c>
      <c r="C603" s="46">
        <v>36831.84</v>
      </c>
      <c r="D603" s="43"/>
    </row>
    <row r="604" spans="1:4" ht="15.75">
      <c r="A604" s="8"/>
      <c r="B604" s="45" t="s">
        <v>652</v>
      </c>
      <c r="C604" s="46">
        <f>SUM(C602:C603)</f>
        <v>30349.29399999998</v>
      </c>
      <c r="D604" s="43"/>
    </row>
    <row r="605" spans="1:4" ht="15.75">
      <c r="A605" s="8"/>
      <c r="B605" s="45"/>
      <c r="C605" s="46"/>
      <c r="D605" s="43"/>
    </row>
    <row r="606" spans="1:4" ht="15.75">
      <c r="A606" s="8"/>
      <c r="B606" s="45"/>
      <c r="C606" s="46"/>
      <c r="D606" s="43"/>
    </row>
    <row r="607" spans="1:3" ht="15.75">
      <c r="A607" s="8"/>
      <c r="B607" s="45" t="s">
        <v>653</v>
      </c>
      <c r="C607" s="46">
        <f>C579-(C575+C576)</f>
        <v>-3030.0699999999997</v>
      </c>
    </row>
    <row r="608" spans="1:3" ht="15.75">
      <c r="A608" s="8"/>
      <c r="B608" s="45" t="s">
        <v>654</v>
      </c>
      <c r="C608" s="20">
        <v>-2845.95</v>
      </c>
    </row>
    <row r="609" spans="1:3" ht="15.75">
      <c r="A609" s="8"/>
      <c r="B609" s="45" t="s">
        <v>655</v>
      </c>
      <c r="C609" s="46">
        <v>-184.12</v>
      </c>
    </row>
    <row r="610" ht="51.75" customHeight="1"/>
    <row r="611" spans="2:4" ht="15">
      <c r="B611" s="196" t="s">
        <v>609</v>
      </c>
      <c r="C611" s="196"/>
      <c r="D611" s="196"/>
    </row>
    <row r="612" spans="2:4" ht="15">
      <c r="B612" s="197" t="s">
        <v>610</v>
      </c>
      <c r="C612" s="197"/>
      <c r="D612" s="1"/>
    </row>
    <row r="613" spans="2:4" ht="18.75">
      <c r="B613" s="198" t="s">
        <v>822</v>
      </c>
      <c r="C613" s="198"/>
      <c r="D613" s="198"/>
    </row>
    <row r="614" spans="2:4" ht="15.75">
      <c r="B614" s="199" t="s">
        <v>612</v>
      </c>
      <c r="C614" s="199"/>
      <c r="D614" s="199"/>
    </row>
    <row r="615" spans="2:4" ht="12.75">
      <c r="B615" s="3"/>
      <c r="C615" s="4"/>
      <c r="D615" s="5"/>
    </row>
    <row r="616" spans="2:4" ht="14.25">
      <c r="B616" s="6"/>
      <c r="C616" s="7"/>
      <c r="D616" s="5"/>
    </row>
    <row r="617" spans="1:4" ht="15.75">
      <c r="A617" s="8"/>
      <c r="B617" s="51" t="s">
        <v>613</v>
      </c>
      <c r="C617" s="52">
        <v>526.2</v>
      </c>
      <c r="D617" s="5"/>
    </row>
    <row r="618" spans="1:4" ht="15">
      <c r="A618" s="8"/>
      <c r="B618" s="53" t="s">
        <v>667</v>
      </c>
      <c r="C618" s="54">
        <v>3.2</v>
      </c>
      <c r="D618" s="13"/>
    </row>
    <row r="619" spans="1:4" ht="15">
      <c r="A619" s="8"/>
      <c r="B619" s="55" t="s">
        <v>615</v>
      </c>
      <c r="C619" s="56">
        <v>5.49</v>
      </c>
      <c r="D619" s="13"/>
    </row>
    <row r="620" spans="1:4" ht="18.75">
      <c r="A620" s="8"/>
      <c r="B620" s="15" t="s">
        <v>616</v>
      </c>
      <c r="C620" s="57">
        <f>4846.93+8302.09</f>
        <v>13149.02</v>
      </c>
      <c r="D620" s="13"/>
    </row>
    <row r="621" spans="1:4" ht="18">
      <c r="A621" s="17">
        <v>1</v>
      </c>
      <c r="B621" s="18" t="s">
        <v>668</v>
      </c>
      <c r="C621" s="21">
        <f>20232.96+34712.4</f>
        <v>54945.36</v>
      </c>
      <c r="D621" s="5"/>
    </row>
    <row r="622" spans="1:4" ht="18">
      <c r="A622" s="17">
        <v>2</v>
      </c>
      <c r="B622" s="58" t="s">
        <v>669</v>
      </c>
      <c r="C622" s="59">
        <f>(C620+C621)-C624</f>
        <v>55735.75</v>
      </c>
      <c r="D622" s="5"/>
    </row>
    <row r="623" spans="1:4" ht="15">
      <c r="A623" s="17">
        <v>3</v>
      </c>
      <c r="B623" s="19" t="s">
        <v>670</v>
      </c>
      <c r="C623" s="20"/>
      <c r="D623" s="5"/>
    </row>
    <row r="624" spans="1:4" ht="15">
      <c r="A624" s="17"/>
      <c r="B624" s="60" t="s">
        <v>671</v>
      </c>
      <c r="C624" s="20">
        <f>4552.92+7805.71</f>
        <v>12358.630000000001</v>
      </c>
      <c r="D624" s="5"/>
    </row>
    <row r="625" spans="1:4" ht="15">
      <c r="A625" s="125"/>
      <c r="B625" s="62"/>
      <c r="C625" s="126"/>
      <c r="D625" s="5"/>
    </row>
    <row r="626" spans="1:4" ht="15">
      <c r="A626" s="127"/>
      <c r="B626" s="62"/>
      <c r="C626" s="128"/>
      <c r="D626" s="5"/>
    </row>
    <row r="627" spans="1:4" ht="31.5">
      <c r="A627" s="17">
        <v>4</v>
      </c>
      <c r="B627" s="64" t="s">
        <v>625</v>
      </c>
      <c r="C627" s="27">
        <f>C628+C629+C630+C631+C632+C633</f>
        <v>46319.013999999996</v>
      </c>
      <c r="D627" s="5"/>
    </row>
    <row r="628" spans="1:4" ht="26.25">
      <c r="A628" s="30" t="s">
        <v>672</v>
      </c>
      <c r="B628" s="31" t="s">
        <v>632</v>
      </c>
      <c r="C628" s="66">
        <v>3147.29</v>
      </c>
      <c r="D628" s="5"/>
    </row>
    <row r="629" spans="1:4" ht="15.75">
      <c r="A629" s="17" t="s">
        <v>697</v>
      </c>
      <c r="B629" s="79" t="s">
        <v>823</v>
      </c>
      <c r="C629" s="23">
        <v>5133.6</v>
      </c>
      <c r="D629" s="5"/>
    </row>
    <row r="630" spans="1:4" ht="15.75">
      <c r="A630" s="17" t="s">
        <v>673</v>
      </c>
      <c r="B630" s="79" t="s">
        <v>699</v>
      </c>
      <c r="C630" s="23">
        <v>74.48</v>
      </c>
      <c r="D630" s="5"/>
    </row>
    <row r="631" spans="1:4" ht="15.75">
      <c r="A631" s="17" t="s">
        <v>676</v>
      </c>
      <c r="B631" s="81" t="s">
        <v>824</v>
      </c>
      <c r="C631" s="69">
        <f>2.6*230*12</f>
        <v>7176</v>
      </c>
      <c r="D631" s="5"/>
    </row>
    <row r="632" spans="1:4" ht="15.75">
      <c r="A632" s="17"/>
      <c r="B632" s="82" t="s">
        <v>703</v>
      </c>
      <c r="C632" s="71">
        <f>C621*0.15</f>
        <v>8241.804</v>
      </c>
      <c r="D632" s="5"/>
    </row>
    <row r="633" spans="1:4" ht="15.75">
      <c r="A633" s="8">
        <v>5</v>
      </c>
      <c r="B633" s="79" t="s">
        <v>702</v>
      </c>
      <c r="C633" s="23">
        <v>22545.84</v>
      </c>
      <c r="D633" s="5"/>
    </row>
    <row r="634" spans="1:4" ht="12.75">
      <c r="A634" s="8"/>
      <c r="B634" s="37"/>
      <c r="C634" s="41"/>
      <c r="D634" s="5"/>
    </row>
    <row r="635" spans="1:3" ht="18">
      <c r="A635" s="8"/>
      <c r="B635" s="73" t="s">
        <v>683</v>
      </c>
      <c r="C635" s="59">
        <v>-11915.84</v>
      </c>
    </row>
    <row r="636" spans="1:4" ht="18">
      <c r="A636" s="8"/>
      <c r="B636" s="73" t="s">
        <v>825</v>
      </c>
      <c r="C636" s="59">
        <f>C622-C627</f>
        <v>9416.736000000004</v>
      </c>
      <c r="D636" s="75"/>
    </row>
    <row r="637" spans="1:3" ht="18.75">
      <c r="A637" s="8"/>
      <c r="B637" s="76" t="s">
        <v>652</v>
      </c>
      <c r="C637" s="74">
        <f>SUM(C635:C636)</f>
        <v>-2499.1039999999957</v>
      </c>
    </row>
    <row r="638" ht="51.75" customHeight="1"/>
    <row r="639" spans="2:4" ht="15">
      <c r="B639" s="196" t="s">
        <v>609</v>
      </c>
      <c r="C639" s="196"/>
      <c r="D639" s="196"/>
    </row>
    <row r="640" spans="2:4" ht="15">
      <c r="B640" s="197" t="s">
        <v>610</v>
      </c>
      <c r="C640" s="197"/>
      <c r="D640" s="1"/>
    </row>
    <row r="641" spans="2:4" ht="18.75">
      <c r="B641" s="198" t="s">
        <v>826</v>
      </c>
      <c r="C641" s="198"/>
      <c r="D641" s="198"/>
    </row>
    <row r="642" spans="2:4" ht="15.75">
      <c r="B642" s="199" t="s">
        <v>612</v>
      </c>
      <c r="C642" s="199"/>
      <c r="D642" s="199"/>
    </row>
    <row r="643" spans="2:4" ht="12.75">
      <c r="B643" s="3"/>
      <c r="C643" s="4"/>
      <c r="D643" s="5"/>
    </row>
    <row r="644" spans="2:4" ht="14.25">
      <c r="B644" s="6"/>
      <c r="C644" s="7"/>
      <c r="D644" s="5"/>
    </row>
    <row r="645" spans="1:4" ht="15.75">
      <c r="A645" s="8"/>
      <c r="B645" s="51" t="s">
        <v>613</v>
      </c>
      <c r="C645" s="52">
        <v>86.8</v>
      </c>
      <c r="D645" s="5"/>
    </row>
    <row r="646" spans="1:4" ht="15">
      <c r="A646" s="8"/>
      <c r="B646" s="53" t="s">
        <v>667</v>
      </c>
      <c r="C646" s="54">
        <v>3.2</v>
      </c>
      <c r="D646" s="13"/>
    </row>
    <row r="647" spans="1:4" ht="15">
      <c r="A647" s="8"/>
      <c r="B647" s="55" t="s">
        <v>615</v>
      </c>
      <c r="C647" s="56">
        <v>5.49</v>
      </c>
      <c r="D647" s="13"/>
    </row>
    <row r="648" spans="1:4" ht="18.75">
      <c r="A648" s="8"/>
      <c r="B648" s="15" t="s">
        <v>616</v>
      </c>
      <c r="C648" s="57">
        <v>0</v>
      </c>
      <c r="D648" s="13"/>
    </row>
    <row r="649" spans="1:4" ht="18">
      <c r="A649" s="17">
        <v>1</v>
      </c>
      <c r="B649" s="18" t="s">
        <v>668</v>
      </c>
      <c r="C649" s="21">
        <f>3049.7+5232.11</f>
        <v>8281.81</v>
      </c>
      <c r="D649" s="5"/>
    </row>
    <row r="650" spans="1:4" ht="18">
      <c r="A650" s="17">
        <v>2</v>
      </c>
      <c r="B650" s="58" t="s">
        <v>669</v>
      </c>
      <c r="C650" s="59">
        <f>(C648+C649)-C652</f>
        <v>7061.98</v>
      </c>
      <c r="D650" s="5"/>
    </row>
    <row r="651" spans="1:4" ht="15">
      <c r="A651" s="17">
        <v>3</v>
      </c>
      <c r="B651" s="19" t="s">
        <v>670</v>
      </c>
      <c r="C651" s="20"/>
      <c r="D651" s="5"/>
    </row>
    <row r="652" spans="1:4" ht="15">
      <c r="A652" s="17"/>
      <c r="B652" s="60" t="s">
        <v>671</v>
      </c>
      <c r="C652" s="20">
        <f>449.21+770.62</f>
        <v>1219.83</v>
      </c>
      <c r="D652" s="5"/>
    </row>
    <row r="653" spans="1:4" ht="15">
      <c r="A653" s="61"/>
      <c r="B653" s="62"/>
      <c r="C653" s="63"/>
      <c r="D653" s="5"/>
    </row>
    <row r="654" spans="1:4" ht="15">
      <c r="A654" s="61"/>
      <c r="B654" s="62"/>
      <c r="C654" s="63"/>
      <c r="D654" s="5"/>
    </row>
    <row r="655" spans="1:4" ht="31.5">
      <c r="A655" s="17">
        <v>4</v>
      </c>
      <c r="B655" s="64" t="s">
        <v>625</v>
      </c>
      <c r="C655" s="65">
        <f>C656+C657+C658+C659+C660</f>
        <v>4308.1115</v>
      </c>
      <c r="D655" s="5"/>
    </row>
    <row r="656" spans="1:4" ht="26.25">
      <c r="A656" s="30" t="s">
        <v>672</v>
      </c>
      <c r="B656" s="31" t="s">
        <v>632</v>
      </c>
      <c r="C656" s="66">
        <v>133.65</v>
      </c>
      <c r="D656" s="5"/>
    </row>
    <row r="657" spans="1:4" ht="15.75">
      <c r="A657" s="17" t="s">
        <v>673</v>
      </c>
      <c r="B657" s="79" t="s">
        <v>699</v>
      </c>
      <c r="C657" s="23">
        <v>0</v>
      </c>
      <c r="D657" s="5"/>
    </row>
    <row r="658" spans="1:4" ht="15.75">
      <c r="A658" s="17" t="s">
        <v>676</v>
      </c>
      <c r="B658" s="81" t="s">
        <v>827</v>
      </c>
      <c r="C658" s="69">
        <f>1*230*11</f>
        <v>2530</v>
      </c>
      <c r="D658" s="5"/>
    </row>
    <row r="659" spans="1:4" ht="15.75">
      <c r="A659" s="17"/>
      <c r="B659" s="82" t="s">
        <v>703</v>
      </c>
      <c r="C659" s="71">
        <f>C649*0.15</f>
        <v>1242.2714999999998</v>
      </c>
      <c r="D659" s="5"/>
    </row>
    <row r="660" spans="1:4" ht="15.75">
      <c r="A660" s="8">
        <v>5</v>
      </c>
      <c r="B660" s="79" t="s">
        <v>702</v>
      </c>
      <c r="C660" s="23">
        <f>C661+C662+C663</f>
        <v>402.19</v>
      </c>
      <c r="D660" s="5"/>
    </row>
    <row r="661" spans="1:4" ht="12.75">
      <c r="A661" s="8"/>
      <c r="B661" s="129" t="s">
        <v>828</v>
      </c>
      <c r="C661" s="96">
        <f>346.11+56.08</f>
        <v>402.19</v>
      </c>
      <c r="D661" s="5"/>
    </row>
    <row r="662" spans="1:4" ht="12.75">
      <c r="A662" s="8"/>
      <c r="B662" s="40"/>
      <c r="C662" s="78"/>
      <c r="D662" s="5"/>
    </row>
    <row r="663" spans="1:4" ht="12.75">
      <c r="A663" s="8"/>
      <c r="B663" s="40"/>
      <c r="C663" s="78"/>
      <c r="D663" s="5"/>
    </row>
    <row r="664" spans="1:3" ht="18">
      <c r="A664" s="8"/>
      <c r="B664" s="73" t="s">
        <v>683</v>
      </c>
      <c r="C664" s="74">
        <v>0</v>
      </c>
    </row>
    <row r="665" spans="1:4" ht="18">
      <c r="A665" s="8"/>
      <c r="B665" s="73" t="s">
        <v>684</v>
      </c>
      <c r="C665" s="59">
        <f>C650-C655</f>
        <v>2753.8684999999996</v>
      </c>
      <c r="D665" s="75"/>
    </row>
    <row r="666" spans="1:3" ht="18.75">
      <c r="A666" s="8"/>
      <c r="B666" s="76" t="s">
        <v>652</v>
      </c>
      <c r="C666" s="59">
        <f>SUM(C664:C665)</f>
        <v>2753.8684999999996</v>
      </c>
    </row>
    <row r="667" ht="54" customHeight="1"/>
    <row r="668" spans="2:4" ht="15">
      <c r="B668" s="196" t="s">
        <v>609</v>
      </c>
      <c r="C668" s="196"/>
      <c r="D668" s="196"/>
    </row>
    <row r="669" spans="2:4" ht="15">
      <c r="B669" s="197" t="s">
        <v>610</v>
      </c>
      <c r="C669" s="197"/>
      <c r="D669" s="1"/>
    </row>
    <row r="670" spans="2:4" ht="18.75">
      <c r="B670" s="198" t="s">
        <v>829</v>
      </c>
      <c r="C670" s="198"/>
      <c r="D670" s="198"/>
    </row>
    <row r="671" spans="2:4" ht="15.75">
      <c r="B671" s="199" t="s">
        <v>612</v>
      </c>
      <c r="C671" s="199"/>
      <c r="D671" s="199"/>
    </row>
    <row r="672" spans="2:4" ht="12.75">
      <c r="B672" s="3"/>
      <c r="C672" s="4"/>
      <c r="D672" s="5"/>
    </row>
    <row r="673" spans="2:4" ht="14.25">
      <c r="B673" s="6"/>
      <c r="C673" s="7"/>
      <c r="D673" s="5"/>
    </row>
    <row r="674" spans="1:4" ht="15">
      <c r="A674" s="8"/>
      <c r="B674" s="9" t="s">
        <v>613</v>
      </c>
      <c r="C674" s="10">
        <v>355.8</v>
      </c>
      <c r="D674" s="5"/>
    </row>
    <row r="675" spans="1:4" ht="12.75">
      <c r="A675" s="8"/>
      <c r="B675" s="11" t="s">
        <v>614</v>
      </c>
      <c r="C675" s="12">
        <v>4.28</v>
      </c>
      <c r="D675" s="13"/>
    </row>
    <row r="676" spans="1:4" ht="12.75">
      <c r="A676" s="8"/>
      <c r="B676" s="14" t="s">
        <v>615</v>
      </c>
      <c r="C676" s="12">
        <v>7.34</v>
      </c>
      <c r="D676" s="13"/>
    </row>
    <row r="677" spans="1:4" ht="18.75">
      <c r="A677" s="8"/>
      <c r="B677" s="15" t="s">
        <v>616</v>
      </c>
      <c r="C677" s="16">
        <v>19325.38</v>
      </c>
      <c r="D677" s="13"/>
    </row>
    <row r="678" spans="1:4" ht="18.75">
      <c r="A678" s="17">
        <v>1</v>
      </c>
      <c r="B678" s="18" t="s">
        <v>617</v>
      </c>
      <c r="C678" s="16">
        <f>C679+C680</f>
        <v>49612.68</v>
      </c>
      <c r="D678" s="5"/>
    </row>
    <row r="679" spans="1:4" ht="15">
      <c r="A679" s="17"/>
      <c r="B679" s="19" t="s">
        <v>618</v>
      </c>
      <c r="C679" s="20">
        <f>18273.84+31338.84</f>
        <v>49612.68</v>
      </c>
      <c r="D679" s="5"/>
    </row>
    <row r="680" spans="1:4" ht="15">
      <c r="A680" s="17"/>
      <c r="B680" s="19" t="s">
        <v>830</v>
      </c>
      <c r="C680" s="20">
        <v>0</v>
      </c>
      <c r="D680" s="5"/>
    </row>
    <row r="681" spans="1:4" ht="18">
      <c r="A681" s="17">
        <v>2</v>
      </c>
      <c r="B681" s="18" t="s">
        <v>620</v>
      </c>
      <c r="C681" s="21">
        <f>C682+C683</f>
        <v>40299.509999999995</v>
      </c>
      <c r="D681" s="5"/>
    </row>
    <row r="682" spans="1:4" ht="15.75">
      <c r="A682" s="17" t="s">
        <v>621</v>
      </c>
      <c r="B682" s="102" t="s">
        <v>743</v>
      </c>
      <c r="C682" s="23">
        <f>14844.23+25455.28</f>
        <v>40299.509999999995</v>
      </c>
      <c r="D682" s="5"/>
    </row>
    <row r="683" spans="1:4" ht="15.75">
      <c r="A683" s="17" t="s">
        <v>623</v>
      </c>
      <c r="B683" s="102" t="s">
        <v>831</v>
      </c>
      <c r="C683" s="23">
        <v>0</v>
      </c>
      <c r="D683" s="5"/>
    </row>
    <row r="684" spans="1:4" ht="36">
      <c r="A684" s="17">
        <v>5</v>
      </c>
      <c r="B684" s="24" t="s">
        <v>625</v>
      </c>
      <c r="C684" s="85">
        <f>C685+C687</f>
        <v>70743.64199999999</v>
      </c>
      <c r="D684" s="5"/>
    </row>
    <row r="685" spans="1:4" ht="18.75">
      <c r="A685" s="17"/>
      <c r="B685" s="26" t="s">
        <v>626</v>
      </c>
      <c r="C685" s="27">
        <f>C686</f>
        <v>0</v>
      </c>
      <c r="D685" s="5"/>
    </row>
    <row r="686" spans="1:4" ht="15">
      <c r="A686" s="17" t="s">
        <v>627</v>
      </c>
      <c r="B686" s="28" t="s">
        <v>832</v>
      </c>
      <c r="C686" s="29">
        <v>0</v>
      </c>
      <c r="D686" s="5"/>
    </row>
    <row r="687" spans="1:4" ht="18.75">
      <c r="A687" s="17" t="s">
        <v>629</v>
      </c>
      <c r="B687" s="26" t="s">
        <v>630</v>
      </c>
      <c r="C687" s="27">
        <f>C688+C689+C690+C691+C692+C693+C694+C695</f>
        <v>70743.64199999999</v>
      </c>
      <c r="D687" s="5"/>
    </row>
    <row r="688" spans="1:4" ht="25.5">
      <c r="A688" s="30" t="s">
        <v>631</v>
      </c>
      <c r="B688" s="31" t="s">
        <v>632</v>
      </c>
      <c r="C688" s="32">
        <v>10381.54</v>
      </c>
      <c r="D688" s="5"/>
    </row>
    <row r="689" spans="1:4" ht="12.75">
      <c r="A689" s="17" t="s">
        <v>633</v>
      </c>
      <c r="B689" s="33" t="s">
        <v>634</v>
      </c>
      <c r="C689" s="34">
        <v>50.13</v>
      </c>
      <c r="D689" s="5"/>
    </row>
    <row r="690" spans="1:4" ht="12.75">
      <c r="A690" s="17" t="s">
        <v>637</v>
      </c>
      <c r="B690" s="35" t="s">
        <v>640</v>
      </c>
      <c r="C690" s="34">
        <v>4176.63</v>
      </c>
      <c r="D690" s="5"/>
    </row>
    <row r="691" spans="1:4" ht="12.75">
      <c r="A691" s="30" t="s">
        <v>639</v>
      </c>
      <c r="B691" s="33" t="s">
        <v>642</v>
      </c>
      <c r="C691" s="34">
        <f>2.3*230*12</f>
        <v>6348</v>
      </c>
      <c r="D691" s="5"/>
    </row>
    <row r="692" spans="1:4" ht="12.75">
      <c r="A692" s="30"/>
      <c r="B692" s="130" t="s">
        <v>833</v>
      </c>
      <c r="C692" s="131">
        <v>472.47</v>
      </c>
      <c r="D692" s="5"/>
    </row>
    <row r="693" spans="1:4" ht="12.75">
      <c r="A693" s="30"/>
      <c r="B693" s="37" t="s">
        <v>834</v>
      </c>
      <c r="C693" s="34">
        <v>1360</v>
      </c>
      <c r="D693" s="5"/>
    </row>
    <row r="694" spans="1:3" ht="12.75">
      <c r="A694" s="30" t="s">
        <v>641</v>
      </c>
      <c r="B694" s="33" t="s">
        <v>646</v>
      </c>
      <c r="C694" s="34">
        <f>C679*0.15</f>
        <v>7441.902</v>
      </c>
    </row>
    <row r="695" spans="1:3" ht="12.75">
      <c r="A695" s="17" t="s">
        <v>643</v>
      </c>
      <c r="B695" s="33" t="s">
        <v>648</v>
      </c>
      <c r="C695" s="34">
        <f>C697+C698+C699+C700+C701</f>
        <v>40512.97</v>
      </c>
    </row>
    <row r="696" spans="1:3" ht="12.75">
      <c r="A696" s="17"/>
      <c r="B696" s="39" t="s">
        <v>649</v>
      </c>
      <c r="C696" s="34"/>
    </row>
    <row r="697" spans="1:3" ht="12.75">
      <c r="A697" s="17"/>
      <c r="B697" s="36" t="s">
        <v>835</v>
      </c>
      <c r="C697" s="41">
        <v>7288.14</v>
      </c>
    </row>
    <row r="698" spans="1:4" ht="12.75">
      <c r="A698" s="8"/>
      <c r="B698" s="40" t="s">
        <v>836</v>
      </c>
      <c r="C698" s="132">
        <v>1344.46</v>
      </c>
      <c r="D698" s="43"/>
    </row>
    <row r="699" spans="1:4" ht="12.75">
      <c r="A699" s="8"/>
      <c r="B699" s="40" t="s">
        <v>837</v>
      </c>
      <c r="C699" s="132">
        <v>31469.4</v>
      </c>
      <c r="D699" s="43"/>
    </row>
    <row r="700" spans="1:4" ht="12.75">
      <c r="A700" s="8"/>
      <c r="B700" s="36" t="s">
        <v>838</v>
      </c>
      <c r="C700" s="78">
        <v>410.97</v>
      </c>
      <c r="D700" s="43"/>
    </row>
    <row r="701" spans="1:4" ht="12.75">
      <c r="A701" s="8"/>
      <c r="B701" s="40"/>
      <c r="C701" s="41"/>
      <c r="D701" s="43"/>
    </row>
    <row r="702" spans="1:4" ht="30">
      <c r="A702" s="8"/>
      <c r="B702" s="45" t="s">
        <v>664</v>
      </c>
      <c r="C702" s="46">
        <f>C681-C684</f>
        <v>-30444.131999999998</v>
      </c>
      <c r="D702" s="43"/>
    </row>
    <row r="703" spans="1:4" ht="12.75">
      <c r="A703" s="8"/>
      <c r="B703" s="47"/>
      <c r="C703" s="41"/>
      <c r="D703" s="43"/>
    </row>
    <row r="704" spans="1:4" ht="12.75">
      <c r="A704" s="8"/>
      <c r="B704" s="47"/>
      <c r="C704" s="41"/>
      <c r="D704" s="43"/>
    </row>
    <row r="705" spans="1:3" ht="15.75">
      <c r="A705" s="8"/>
      <c r="B705" s="45" t="s">
        <v>653</v>
      </c>
      <c r="C705" s="46">
        <f>C681-(C677+C678)</f>
        <v>-28638.550000000003</v>
      </c>
    </row>
    <row r="706" spans="1:3" ht="15.75">
      <c r="A706" s="8"/>
      <c r="B706" s="45" t="s">
        <v>654</v>
      </c>
      <c r="C706" s="46">
        <v>-28638.55</v>
      </c>
    </row>
    <row r="707" spans="1:3" ht="15.75">
      <c r="A707" s="8"/>
      <c r="B707" s="45" t="s">
        <v>839</v>
      </c>
      <c r="C707" s="46">
        <v>0</v>
      </c>
    </row>
    <row r="708" ht="51.75" customHeight="1"/>
    <row r="709" spans="2:4" ht="15">
      <c r="B709" s="196" t="s">
        <v>609</v>
      </c>
      <c r="C709" s="196"/>
      <c r="D709" s="196"/>
    </row>
    <row r="710" spans="2:4" ht="15">
      <c r="B710" s="197" t="s">
        <v>610</v>
      </c>
      <c r="C710" s="197"/>
      <c r="D710" s="1"/>
    </row>
    <row r="711" spans="2:4" ht="18.75">
      <c r="B711" s="198" t="s">
        <v>840</v>
      </c>
      <c r="C711" s="198"/>
      <c r="D711" s="198"/>
    </row>
    <row r="712" spans="2:4" ht="15.75">
      <c r="B712" s="199" t="s">
        <v>612</v>
      </c>
      <c r="C712" s="199"/>
      <c r="D712" s="199"/>
    </row>
    <row r="713" spans="2:4" ht="12.75">
      <c r="B713" s="3"/>
      <c r="C713" s="4"/>
      <c r="D713" s="5"/>
    </row>
    <row r="714" spans="2:4" ht="14.25">
      <c r="B714" s="6"/>
      <c r="C714" s="7"/>
      <c r="D714" s="5"/>
    </row>
    <row r="715" spans="1:4" ht="15.75">
      <c r="A715" s="8"/>
      <c r="B715" s="51" t="s">
        <v>613</v>
      </c>
      <c r="C715" s="52">
        <v>330</v>
      </c>
      <c r="D715" s="5"/>
    </row>
    <row r="716" spans="1:4" ht="15">
      <c r="A716" s="8"/>
      <c r="B716" s="53" t="s">
        <v>667</v>
      </c>
      <c r="C716" s="54">
        <v>3.2</v>
      </c>
      <c r="D716" s="13"/>
    </row>
    <row r="717" spans="1:4" ht="15">
      <c r="A717" s="8"/>
      <c r="B717" s="55" t="s">
        <v>615</v>
      </c>
      <c r="C717" s="56">
        <v>5.49</v>
      </c>
      <c r="D717" s="13"/>
    </row>
    <row r="718" spans="1:4" ht="18.75">
      <c r="A718" s="8"/>
      <c r="B718" s="15" t="s">
        <v>616</v>
      </c>
      <c r="C718" s="57">
        <f>213.28+365.92</f>
        <v>579.2</v>
      </c>
      <c r="D718" s="13"/>
    </row>
    <row r="719" spans="1:4" ht="18">
      <c r="A719" s="17">
        <v>1</v>
      </c>
      <c r="B719" s="18" t="s">
        <v>668</v>
      </c>
      <c r="C719" s="21">
        <f>12711.6+21808.32</f>
        <v>34519.92</v>
      </c>
      <c r="D719" s="5"/>
    </row>
    <row r="720" spans="1:4" ht="18">
      <c r="A720" s="17">
        <v>2</v>
      </c>
      <c r="B720" s="58" t="s">
        <v>669</v>
      </c>
      <c r="C720" s="59">
        <f>(C718+C719)-C722</f>
        <v>31627.029999999995</v>
      </c>
      <c r="D720" s="5"/>
    </row>
    <row r="721" spans="1:4" ht="15">
      <c r="A721" s="17">
        <v>3</v>
      </c>
      <c r="B721" s="19" t="s">
        <v>670</v>
      </c>
      <c r="C721" s="20"/>
      <c r="D721" s="5"/>
    </row>
    <row r="722" spans="1:4" ht="15">
      <c r="A722" s="17"/>
      <c r="B722" s="60" t="s">
        <v>671</v>
      </c>
      <c r="C722" s="20">
        <f>1278.43+2193.66</f>
        <v>3472.09</v>
      </c>
      <c r="D722" s="5"/>
    </row>
    <row r="723" spans="1:4" ht="15">
      <c r="A723" s="61"/>
      <c r="B723" s="62"/>
      <c r="C723" s="63"/>
      <c r="D723" s="5"/>
    </row>
    <row r="724" spans="1:4" ht="15">
      <c r="A724" s="61"/>
      <c r="B724" s="62"/>
      <c r="C724" s="63"/>
      <c r="D724" s="5"/>
    </row>
    <row r="725" spans="1:4" ht="31.5">
      <c r="A725" s="17">
        <v>4</v>
      </c>
      <c r="B725" s="64" t="s">
        <v>625</v>
      </c>
      <c r="C725" s="65">
        <f>C726+C727+C728+C729+C730</f>
        <v>48940.008</v>
      </c>
      <c r="D725" s="5"/>
    </row>
    <row r="726" spans="1:4" ht="26.25">
      <c r="A726" s="30" t="s">
        <v>672</v>
      </c>
      <c r="B726" s="31" t="s">
        <v>632</v>
      </c>
      <c r="C726" s="66">
        <v>2399.16</v>
      </c>
      <c r="D726" s="5"/>
    </row>
    <row r="727" spans="1:4" ht="15.75">
      <c r="A727" s="17" t="s">
        <v>673</v>
      </c>
      <c r="B727" s="79" t="s">
        <v>699</v>
      </c>
      <c r="C727" s="23">
        <v>46.44</v>
      </c>
      <c r="D727" s="5"/>
    </row>
    <row r="728" spans="1:4" ht="15.75">
      <c r="A728" s="17" t="s">
        <v>676</v>
      </c>
      <c r="B728" s="81" t="s">
        <v>841</v>
      </c>
      <c r="C728" s="69">
        <f>2.2*230*12</f>
        <v>6072.000000000001</v>
      </c>
      <c r="D728" s="5"/>
    </row>
    <row r="729" spans="1:4" ht="15.75">
      <c r="A729" s="17"/>
      <c r="B729" s="82" t="s">
        <v>703</v>
      </c>
      <c r="C729" s="71">
        <f>C719*0.15</f>
        <v>5177.987999999999</v>
      </c>
      <c r="D729" s="5"/>
    </row>
    <row r="730" spans="1:4" ht="15.75">
      <c r="A730" s="8">
        <v>5</v>
      </c>
      <c r="B730" s="79" t="s">
        <v>702</v>
      </c>
      <c r="C730" s="23">
        <f>C731+C732+C733+C734+C735</f>
        <v>35244.42</v>
      </c>
      <c r="D730" s="5"/>
    </row>
    <row r="731" spans="1:4" ht="12.75">
      <c r="A731" s="8"/>
      <c r="B731" s="36" t="s">
        <v>842</v>
      </c>
      <c r="C731" s="41">
        <v>907.2</v>
      </c>
      <c r="D731" s="5"/>
    </row>
    <row r="732" spans="1:4" ht="12.75">
      <c r="A732" s="8"/>
      <c r="B732" s="36" t="s">
        <v>843</v>
      </c>
      <c r="C732" s="41">
        <v>23899.33</v>
      </c>
      <c r="D732" s="5"/>
    </row>
    <row r="733" spans="1:4" ht="12.75">
      <c r="A733" s="8"/>
      <c r="B733" s="133" t="s">
        <v>844</v>
      </c>
      <c r="C733" s="41">
        <f>2446.25+212.39</f>
        <v>2658.64</v>
      </c>
      <c r="D733" s="5"/>
    </row>
    <row r="734" spans="1:4" ht="36">
      <c r="A734" s="8"/>
      <c r="B734" s="37" t="s">
        <v>845</v>
      </c>
      <c r="C734" s="41">
        <v>5391.11</v>
      </c>
      <c r="D734" s="5"/>
    </row>
    <row r="735" spans="1:4" ht="12.75">
      <c r="A735" s="8"/>
      <c r="B735" s="36" t="s">
        <v>846</v>
      </c>
      <c r="C735" s="41">
        <v>2388.14</v>
      </c>
      <c r="D735" s="5"/>
    </row>
    <row r="736" spans="1:4" ht="12.75">
      <c r="A736" s="8"/>
      <c r="B736" s="133"/>
      <c r="C736" s="41"/>
      <c r="D736" s="5"/>
    </row>
    <row r="737" spans="1:3" ht="18">
      <c r="A737" s="8"/>
      <c r="B737" s="73" t="s">
        <v>683</v>
      </c>
      <c r="C737" s="74">
        <v>-5472.75</v>
      </c>
    </row>
    <row r="738" spans="1:4" ht="18">
      <c r="A738" s="8"/>
      <c r="B738" s="73" t="s">
        <v>825</v>
      </c>
      <c r="C738" s="59">
        <f>C720-C725</f>
        <v>-17312.978000000006</v>
      </c>
      <c r="D738" s="75"/>
    </row>
    <row r="739" spans="1:3" ht="18.75">
      <c r="A739" s="8"/>
      <c r="B739" s="76" t="s">
        <v>652</v>
      </c>
      <c r="C739" s="74">
        <f>SUM(C737:C738)</f>
        <v>-22785.728000000006</v>
      </c>
    </row>
    <row r="740" ht="51.75" customHeight="1"/>
    <row r="741" spans="2:4" ht="15">
      <c r="B741" s="196" t="s">
        <v>609</v>
      </c>
      <c r="C741" s="196"/>
      <c r="D741" s="196"/>
    </row>
    <row r="742" spans="2:4" ht="15">
      <c r="B742" s="197" t="s">
        <v>610</v>
      </c>
      <c r="C742" s="197"/>
      <c r="D742" s="1"/>
    </row>
    <row r="743" spans="2:4" ht="18.75">
      <c r="B743" s="198" t="s">
        <v>847</v>
      </c>
      <c r="C743" s="198"/>
      <c r="D743" s="198"/>
    </row>
    <row r="744" spans="2:4" ht="15.75">
      <c r="B744" s="199" t="s">
        <v>612</v>
      </c>
      <c r="C744" s="199"/>
      <c r="D744" s="199"/>
    </row>
    <row r="745" spans="2:4" ht="12.75">
      <c r="B745" s="3"/>
      <c r="C745" s="4"/>
      <c r="D745" s="5"/>
    </row>
    <row r="746" spans="2:4" ht="14.25">
      <c r="B746" s="6"/>
      <c r="C746" s="7"/>
      <c r="D746" s="5"/>
    </row>
    <row r="747" spans="1:4" ht="15">
      <c r="A747" s="8"/>
      <c r="B747" s="9" t="s">
        <v>613</v>
      </c>
      <c r="C747" s="20">
        <v>718.1</v>
      </c>
      <c r="D747" s="5"/>
    </row>
    <row r="748" spans="1:4" ht="12.75">
      <c r="A748" s="8"/>
      <c r="B748" s="11" t="s">
        <v>614</v>
      </c>
      <c r="C748" s="34">
        <v>4.83</v>
      </c>
      <c r="D748" s="13"/>
    </row>
    <row r="749" spans="1:4" ht="12.75">
      <c r="A749" s="8"/>
      <c r="B749" s="14" t="s">
        <v>615</v>
      </c>
      <c r="C749" s="34">
        <v>8.23</v>
      </c>
      <c r="D749" s="13"/>
    </row>
    <row r="750" spans="1:4" ht="18.75">
      <c r="A750" s="8"/>
      <c r="B750" s="15" t="s">
        <v>616</v>
      </c>
      <c r="C750" s="16">
        <v>100305.05</v>
      </c>
      <c r="D750" s="13"/>
    </row>
    <row r="751" spans="1:4" ht="18.75">
      <c r="A751" s="17">
        <v>1</v>
      </c>
      <c r="B751" s="18" t="s">
        <v>617</v>
      </c>
      <c r="C751" s="16">
        <f>C752+C753</f>
        <v>158682.9</v>
      </c>
      <c r="D751" s="5"/>
    </row>
    <row r="752" spans="1:4" ht="15">
      <c r="A752" s="17"/>
      <c r="B752" s="19" t="s">
        <v>618</v>
      </c>
      <c r="C752" s="20">
        <f>42094.56+72190.56</f>
        <v>114285.12</v>
      </c>
      <c r="D752" s="5"/>
    </row>
    <row r="753" spans="1:4" ht="15">
      <c r="A753" s="17"/>
      <c r="B753" s="19" t="s">
        <v>848</v>
      </c>
      <c r="C753" s="20">
        <f>19147.22+25250.56</f>
        <v>44397.78</v>
      </c>
      <c r="D753" s="5"/>
    </row>
    <row r="754" spans="1:4" ht="18">
      <c r="A754" s="17">
        <v>2</v>
      </c>
      <c r="B754" s="18" t="s">
        <v>620</v>
      </c>
      <c r="C754" s="21">
        <f>C755+C756</f>
        <v>113733.15</v>
      </c>
      <c r="D754" s="5"/>
    </row>
    <row r="755" spans="1:4" ht="15.75">
      <c r="A755" s="17" t="s">
        <v>621</v>
      </c>
      <c r="B755" s="102" t="s">
        <v>743</v>
      </c>
      <c r="C755" s="23">
        <f>28792.68+49209.96</f>
        <v>78002.64</v>
      </c>
      <c r="D755" s="5"/>
    </row>
    <row r="756" spans="1:4" ht="15.75">
      <c r="A756" s="17" t="s">
        <v>623</v>
      </c>
      <c r="B756" s="102" t="s">
        <v>849</v>
      </c>
      <c r="C756" s="23">
        <f>16000+19730.51</f>
        <v>35730.509999999995</v>
      </c>
      <c r="D756" s="5"/>
    </row>
    <row r="757" spans="1:4" ht="36">
      <c r="A757" s="17">
        <v>5</v>
      </c>
      <c r="B757" s="24" t="s">
        <v>625</v>
      </c>
      <c r="C757" s="85">
        <f>C758+C760</f>
        <v>188387.858</v>
      </c>
      <c r="D757" s="5"/>
    </row>
    <row r="758" spans="1:4" ht="18.75">
      <c r="A758" s="17"/>
      <c r="B758" s="26" t="s">
        <v>626</v>
      </c>
      <c r="C758" s="27">
        <f>C759</f>
        <v>48186.94</v>
      </c>
      <c r="D758" s="5"/>
    </row>
    <row r="759" spans="1:4" ht="15">
      <c r="A759" s="17" t="s">
        <v>627</v>
      </c>
      <c r="B759" s="28" t="s">
        <v>628</v>
      </c>
      <c r="C759" s="29">
        <f>(922*20.8)+(762*38.07)</f>
        <v>48186.94</v>
      </c>
      <c r="D759" s="5"/>
    </row>
    <row r="760" spans="1:4" ht="18.75">
      <c r="A760" s="17" t="s">
        <v>629</v>
      </c>
      <c r="B760" s="26" t="s">
        <v>630</v>
      </c>
      <c r="C760" s="27">
        <f>C761+C762+C763+C764+C765+C766</f>
        <v>140200.918</v>
      </c>
      <c r="D760" s="5"/>
    </row>
    <row r="761" spans="1:4" ht="25.5">
      <c r="A761" s="30" t="s">
        <v>631</v>
      </c>
      <c r="B761" s="31" t="s">
        <v>632</v>
      </c>
      <c r="C761" s="32">
        <v>16471.2</v>
      </c>
      <c r="D761" s="5"/>
    </row>
    <row r="762" spans="1:4" ht="12.75">
      <c r="A762" s="17" t="s">
        <v>633</v>
      </c>
      <c r="B762" s="33" t="s">
        <v>634</v>
      </c>
      <c r="C762" s="34">
        <v>85.24</v>
      </c>
      <c r="D762" s="5"/>
    </row>
    <row r="763" spans="1:4" ht="12.75">
      <c r="A763" s="17" t="s">
        <v>637</v>
      </c>
      <c r="B763" s="37" t="s">
        <v>850</v>
      </c>
      <c r="C763" s="34">
        <v>11850</v>
      </c>
      <c r="D763" s="5"/>
    </row>
    <row r="764" spans="1:4" ht="12.75">
      <c r="A764" s="30" t="s">
        <v>639</v>
      </c>
      <c r="B764" s="33" t="s">
        <v>851</v>
      </c>
      <c r="C764" s="34">
        <f>4.3*230*12</f>
        <v>11868</v>
      </c>
      <c r="D764" s="5"/>
    </row>
    <row r="765" spans="1:3" ht="12.75">
      <c r="A765" s="30" t="s">
        <v>641</v>
      </c>
      <c r="B765" s="33" t="s">
        <v>646</v>
      </c>
      <c r="C765" s="34">
        <f>C752*0.15</f>
        <v>17142.768</v>
      </c>
    </row>
    <row r="766" spans="1:3" ht="12.75">
      <c r="A766" s="17" t="s">
        <v>643</v>
      </c>
      <c r="B766" s="33" t="s">
        <v>648</v>
      </c>
      <c r="C766" s="34">
        <f>C768+C769+C770+C771+C772</f>
        <v>82783.71</v>
      </c>
    </row>
    <row r="767" spans="1:3" ht="12.75">
      <c r="A767" s="17"/>
      <c r="B767" s="39" t="s">
        <v>649</v>
      </c>
      <c r="C767" s="34"/>
    </row>
    <row r="768" spans="1:3" ht="108">
      <c r="A768" s="17"/>
      <c r="B768" s="37" t="s">
        <v>0</v>
      </c>
      <c r="C768" s="41">
        <v>81181.41</v>
      </c>
    </row>
    <row r="769" spans="1:4" ht="24">
      <c r="A769" s="8"/>
      <c r="B769" s="37" t="s">
        <v>1</v>
      </c>
      <c r="C769" s="41">
        <v>656.5</v>
      </c>
      <c r="D769" s="43"/>
    </row>
    <row r="770" spans="1:4" ht="12.75">
      <c r="A770" s="8"/>
      <c r="B770" s="37" t="s">
        <v>2</v>
      </c>
      <c r="C770" s="41">
        <v>532.1</v>
      </c>
      <c r="D770" s="43"/>
    </row>
    <row r="771" spans="1:4" ht="12.75">
      <c r="A771" s="8"/>
      <c r="B771" s="36" t="s">
        <v>838</v>
      </c>
      <c r="C771" s="78">
        <v>413.7</v>
      </c>
      <c r="D771" s="43"/>
    </row>
    <row r="772" spans="1:4" ht="12.75">
      <c r="A772" s="8"/>
      <c r="B772" s="40"/>
      <c r="C772" s="41"/>
      <c r="D772" s="43"/>
    </row>
    <row r="773" spans="1:4" ht="30">
      <c r="A773" s="8"/>
      <c r="B773" s="45" t="s">
        <v>664</v>
      </c>
      <c r="C773" s="46">
        <f>C754-C757</f>
        <v>-74654.70800000001</v>
      </c>
      <c r="D773" s="43"/>
    </row>
    <row r="774" spans="1:4" ht="12.75">
      <c r="A774" s="8"/>
      <c r="B774" s="47"/>
      <c r="C774" s="41"/>
      <c r="D774" s="43"/>
    </row>
    <row r="775" spans="1:4" ht="30">
      <c r="A775" s="8"/>
      <c r="B775" s="45" t="s">
        <v>821</v>
      </c>
      <c r="C775" s="46">
        <f>C755-C760</f>
        <v>-62198.278000000006</v>
      </c>
      <c r="D775" s="43"/>
    </row>
    <row r="776" spans="1:4" ht="15.75">
      <c r="A776" s="8"/>
      <c r="B776" s="45" t="s">
        <v>651</v>
      </c>
      <c r="C776" s="46">
        <v>72152.02</v>
      </c>
      <c r="D776" s="43"/>
    </row>
    <row r="777" spans="1:4" ht="15.75">
      <c r="A777" s="8"/>
      <c r="B777" s="45" t="s">
        <v>652</v>
      </c>
      <c r="C777" s="46">
        <f>SUM(C775:C776)</f>
        <v>9953.741999999998</v>
      </c>
      <c r="D777" s="43"/>
    </row>
    <row r="778" spans="1:4" ht="12.75">
      <c r="A778" s="8"/>
      <c r="B778" s="47"/>
      <c r="C778" s="41"/>
      <c r="D778" s="43"/>
    </row>
    <row r="779" spans="1:3" ht="15.75">
      <c r="A779" s="8"/>
      <c r="B779" s="45" t="s">
        <v>653</v>
      </c>
      <c r="C779" s="46">
        <f>C754-(C750+C751)</f>
        <v>-145254.80000000002</v>
      </c>
    </row>
    <row r="780" spans="1:3" ht="15.75">
      <c r="A780" s="8"/>
      <c r="B780" s="45" t="s">
        <v>654</v>
      </c>
      <c r="C780" s="46">
        <v>-99247.98</v>
      </c>
    </row>
    <row r="781" spans="1:3" ht="15.75">
      <c r="A781" s="8"/>
      <c r="B781" s="45" t="s">
        <v>3</v>
      </c>
      <c r="C781" s="46">
        <v>-46006.82</v>
      </c>
    </row>
    <row r="782" ht="52.5" customHeight="1"/>
    <row r="783" spans="2:4" ht="15">
      <c r="B783" s="196" t="s">
        <v>609</v>
      </c>
      <c r="C783" s="196"/>
      <c r="D783" s="196"/>
    </row>
    <row r="784" spans="2:4" ht="15">
      <c r="B784" s="197" t="s">
        <v>610</v>
      </c>
      <c r="C784" s="197"/>
      <c r="D784" s="1"/>
    </row>
    <row r="785" spans="2:4" ht="18.75">
      <c r="B785" s="198" t="s">
        <v>4</v>
      </c>
      <c r="C785" s="198"/>
      <c r="D785" s="198"/>
    </row>
    <row r="786" spans="2:4" ht="15.75">
      <c r="B786" s="199" t="s">
        <v>612</v>
      </c>
      <c r="C786" s="199"/>
      <c r="D786" s="199"/>
    </row>
    <row r="787" spans="2:4" ht="12.75">
      <c r="B787" s="3"/>
      <c r="C787" s="4"/>
      <c r="D787" s="5"/>
    </row>
    <row r="788" spans="2:4" ht="14.25">
      <c r="B788" s="6"/>
      <c r="C788" s="7"/>
      <c r="D788" s="5"/>
    </row>
    <row r="789" spans="1:4" ht="15.75">
      <c r="A789" s="8"/>
      <c r="B789" s="51" t="s">
        <v>613</v>
      </c>
      <c r="C789" s="52">
        <v>180.5</v>
      </c>
      <c r="D789" s="5"/>
    </row>
    <row r="790" spans="1:4" ht="15">
      <c r="A790" s="8"/>
      <c r="B790" s="53" t="s">
        <v>667</v>
      </c>
      <c r="C790" s="54">
        <v>3.2</v>
      </c>
      <c r="D790" s="13"/>
    </row>
    <row r="791" spans="1:4" ht="15">
      <c r="A791" s="8"/>
      <c r="B791" s="55" t="s">
        <v>615</v>
      </c>
      <c r="C791" s="56">
        <v>5.49</v>
      </c>
      <c r="D791" s="13"/>
    </row>
    <row r="792" spans="1:4" ht="18.75">
      <c r="A792" s="8"/>
      <c r="B792" s="15" t="s">
        <v>616</v>
      </c>
      <c r="C792" s="57">
        <f>585.82+1003.65</f>
        <v>1589.47</v>
      </c>
      <c r="D792" s="13"/>
    </row>
    <row r="793" spans="1:4" ht="18">
      <c r="A793" s="17">
        <v>1</v>
      </c>
      <c r="B793" s="18" t="s">
        <v>668</v>
      </c>
      <c r="C793" s="21">
        <f>6931.2+11891.28</f>
        <v>18822.48</v>
      </c>
      <c r="D793" s="5"/>
    </row>
    <row r="794" spans="1:4" ht="18">
      <c r="A794" s="17">
        <v>2</v>
      </c>
      <c r="B794" s="58" t="s">
        <v>669</v>
      </c>
      <c r="C794" s="59">
        <f>(C792+C793)-C796</f>
        <v>18815.4</v>
      </c>
      <c r="D794" s="5"/>
    </row>
    <row r="795" spans="1:4" ht="15">
      <c r="A795" s="17">
        <v>3</v>
      </c>
      <c r="B795" s="19" t="s">
        <v>670</v>
      </c>
      <c r="C795" s="20"/>
      <c r="D795" s="5"/>
    </row>
    <row r="796" spans="1:4" ht="15">
      <c r="A796" s="17"/>
      <c r="B796" s="60" t="s">
        <v>671</v>
      </c>
      <c r="C796" s="20">
        <f>587.9+1008.65</f>
        <v>1596.55</v>
      </c>
      <c r="D796" s="5"/>
    </row>
    <row r="797" spans="1:4" ht="15">
      <c r="A797" s="125"/>
      <c r="B797" s="62"/>
      <c r="C797" s="126"/>
      <c r="D797" s="5"/>
    </row>
    <row r="798" spans="1:4" ht="15">
      <c r="A798" s="127"/>
      <c r="B798" s="62"/>
      <c r="C798" s="128"/>
      <c r="D798" s="5"/>
    </row>
    <row r="799" spans="1:4" ht="31.5">
      <c r="A799" s="17">
        <v>4</v>
      </c>
      <c r="B799" s="64" t="s">
        <v>625</v>
      </c>
      <c r="C799" s="27">
        <f>C800+C801+C803+C804+C805</f>
        <v>13014.922</v>
      </c>
      <c r="D799" s="5"/>
    </row>
    <row r="800" spans="1:4" ht="26.25">
      <c r="A800" s="30" t="s">
        <v>672</v>
      </c>
      <c r="B800" s="31" t="s">
        <v>632</v>
      </c>
      <c r="C800" s="66">
        <v>691.76</v>
      </c>
      <c r="D800" s="5"/>
    </row>
    <row r="801" spans="1:4" ht="15.75">
      <c r="A801" s="17" t="s">
        <v>697</v>
      </c>
      <c r="B801" s="79" t="s">
        <v>699</v>
      </c>
      <c r="C801" s="23">
        <v>25.49</v>
      </c>
      <c r="D801" s="5"/>
    </row>
    <row r="802" spans="1:4" ht="12.75">
      <c r="A802" s="17" t="s">
        <v>673</v>
      </c>
      <c r="D802" s="5"/>
    </row>
    <row r="803" spans="1:4" ht="15.75">
      <c r="A803" s="17" t="s">
        <v>676</v>
      </c>
      <c r="B803" s="81" t="s">
        <v>5</v>
      </c>
      <c r="C803" s="69">
        <f>1.1*230*12</f>
        <v>3036.0000000000005</v>
      </c>
      <c r="D803" s="5"/>
    </row>
    <row r="804" spans="1:4" ht="15.75">
      <c r="A804" s="17"/>
      <c r="B804" s="82" t="s">
        <v>703</v>
      </c>
      <c r="C804" s="71">
        <f>C793*0.15</f>
        <v>2823.372</v>
      </c>
      <c r="D804" s="5"/>
    </row>
    <row r="805" spans="1:4" ht="15.75">
      <c r="A805" s="8">
        <v>5</v>
      </c>
      <c r="B805" s="79" t="s">
        <v>702</v>
      </c>
      <c r="C805" s="23">
        <f>C806+C807</f>
        <v>6438.3</v>
      </c>
      <c r="D805" s="5"/>
    </row>
    <row r="806" spans="1:4" ht="12.75">
      <c r="A806" s="8"/>
      <c r="B806" s="134" t="s">
        <v>6</v>
      </c>
      <c r="C806" s="135">
        <v>1639.22</v>
      </c>
      <c r="D806" s="5"/>
    </row>
    <row r="807" spans="1:4" ht="36">
      <c r="A807" s="8"/>
      <c r="B807" s="134" t="s">
        <v>7</v>
      </c>
      <c r="C807" s="135">
        <v>4799.08</v>
      </c>
      <c r="D807" s="5"/>
    </row>
    <row r="808" spans="1:4" ht="12.75">
      <c r="A808" s="8"/>
      <c r="B808" s="37"/>
      <c r="C808" s="41"/>
      <c r="D808" s="5"/>
    </row>
    <row r="809" spans="1:3" ht="18">
      <c r="A809" s="8"/>
      <c r="B809" s="73" t="s">
        <v>683</v>
      </c>
      <c r="C809" s="59">
        <v>3314.37</v>
      </c>
    </row>
    <row r="810" spans="1:4" ht="18">
      <c r="A810" s="8"/>
      <c r="B810" s="73" t="s">
        <v>825</v>
      </c>
      <c r="C810" s="59">
        <f>C794-C799</f>
        <v>5800.478000000001</v>
      </c>
      <c r="D810" s="75"/>
    </row>
    <row r="811" spans="1:3" ht="18.75">
      <c r="A811" s="8"/>
      <c r="B811" s="76" t="s">
        <v>652</v>
      </c>
      <c r="C811" s="59">
        <f>SUM(C809:C810)</f>
        <v>9114.848000000002</v>
      </c>
    </row>
    <row r="812" ht="53.25" customHeight="1"/>
    <row r="813" spans="2:4" ht="15">
      <c r="B813" s="196" t="s">
        <v>609</v>
      </c>
      <c r="C813" s="196"/>
      <c r="D813" s="196"/>
    </row>
    <row r="814" spans="2:4" ht="15">
      <c r="B814" s="197" t="s">
        <v>610</v>
      </c>
      <c r="C814" s="197"/>
      <c r="D814" s="1"/>
    </row>
    <row r="815" spans="2:4" ht="18.75">
      <c r="B815" s="198" t="s">
        <v>8</v>
      </c>
      <c r="C815" s="198"/>
      <c r="D815" s="198"/>
    </row>
    <row r="816" spans="2:4" ht="15.75">
      <c r="B816" s="199" t="s">
        <v>612</v>
      </c>
      <c r="C816" s="199"/>
      <c r="D816" s="199"/>
    </row>
    <row r="817" spans="2:4" ht="12.75">
      <c r="B817" s="3"/>
      <c r="C817" s="4"/>
      <c r="D817" s="5"/>
    </row>
    <row r="818" spans="2:4" ht="14.25">
      <c r="B818" s="6"/>
      <c r="C818" s="7"/>
      <c r="D818" s="5"/>
    </row>
    <row r="819" spans="1:4" ht="15.75">
      <c r="A819" s="8"/>
      <c r="B819" s="51" t="s">
        <v>613</v>
      </c>
      <c r="C819" s="52">
        <v>315.7</v>
      </c>
      <c r="D819" s="5"/>
    </row>
    <row r="820" spans="1:4" ht="15">
      <c r="A820" s="8"/>
      <c r="B820" s="53" t="s">
        <v>667</v>
      </c>
      <c r="C820" s="54">
        <v>3.2</v>
      </c>
      <c r="D820" s="13"/>
    </row>
    <row r="821" spans="1:4" ht="15">
      <c r="A821" s="8"/>
      <c r="B821" s="55" t="s">
        <v>615</v>
      </c>
      <c r="C821" s="56">
        <v>5.49</v>
      </c>
      <c r="D821" s="13"/>
    </row>
    <row r="822" spans="1:4" ht="18.75">
      <c r="A822" s="8"/>
      <c r="B822" s="15" t="s">
        <v>616</v>
      </c>
      <c r="C822" s="57">
        <f>2998.8+5135.44</f>
        <v>8134.24</v>
      </c>
      <c r="D822" s="13"/>
    </row>
    <row r="823" spans="1:4" ht="18">
      <c r="A823" s="17">
        <v>1</v>
      </c>
      <c r="B823" s="18" t="s">
        <v>668</v>
      </c>
      <c r="C823" s="21">
        <f>12122.88+20798.16</f>
        <v>32921.04</v>
      </c>
      <c r="D823" s="5"/>
    </row>
    <row r="824" spans="1:4" ht="18">
      <c r="A824" s="17">
        <v>2</v>
      </c>
      <c r="B824" s="58" t="s">
        <v>669</v>
      </c>
      <c r="C824" s="59">
        <f>(C822+C823)-C826</f>
        <v>33276.78</v>
      </c>
      <c r="D824" s="5"/>
    </row>
    <row r="825" spans="1:4" ht="15">
      <c r="A825" s="17">
        <v>3</v>
      </c>
      <c r="B825" s="19" t="s">
        <v>670</v>
      </c>
      <c r="C825" s="20"/>
      <c r="D825" s="5"/>
    </row>
    <row r="826" spans="1:4" ht="18.75">
      <c r="A826" s="17"/>
      <c r="B826" s="60" t="s">
        <v>671</v>
      </c>
      <c r="C826" s="16">
        <f>2866.02+4912.48</f>
        <v>7778.5</v>
      </c>
      <c r="D826" s="5"/>
    </row>
    <row r="827" spans="1:4" ht="15">
      <c r="A827" s="125"/>
      <c r="B827" s="62"/>
      <c r="C827" s="126"/>
      <c r="D827" s="5"/>
    </row>
    <row r="828" spans="1:4" ht="15">
      <c r="A828" s="127"/>
      <c r="B828" s="62"/>
      <c r="C828" s="128"/>
      <c r="D828" s="5"/>
    </row>
    <row r="829" spans="1:4" ht="31.5">
      <c r="A829" s="17">
        <v>4</v>
      </c>
      <c r="B829" s="64" t="s">
        <v>625</v>
      </c>
      <c r="C829" s="27">
        <f>C830+C831+C832+C833+C834+C835+C836</f>
        <v>42896.516</v>
      </c>
      <c r="D829" s="5"/>
    </row>
    <row r="830" spans="1:4" ht="26.25">
      <c r="A830" s="30" t="s">
        <v>672</v>
      </c>
      <c r="B830" s="31" t="s">
        <v>632</v>
      </c>
      <c r="C830" s="66">
        <v>2985.98</v>
      </c>
      <c r="D830" s="5"/>
    </row>
    <row r="831" spans="1:4" ht="15.75">
      <c r="A831" s="17" t="s">
        <v>697</v>
      </c>
      <c r="B831" s="79" t="s">
        <v>699</v>
      </c>
      <c r="C831" s="23">
        <v>44.46</v>
      </c>
      <c r="D831" s="5"/>
    </row>
    <row r="832" spans="1:4" ht="15.75">
      <c r="A832" s="17" t="s">
        <v>673</v>
      </c>
      <c r="B832" s="83" t="s">
        <v>9</v>
      </c>
      <c r="C832" s="2">
        <v>535.68</v>
      </c>
      <c r="D832" s="5"/>
    </row>
    <row r="833" spans="1:4" ht="15.75">
      <c r="A833" s="17" t="s">
        <v>676</v>
      </c>
      <c r="B833" s="81" t="s">
        <v>10</v>
      </c>
      <c r="C833" s="69">
        <f>1.7*230*12</f>
        <v>4692</v>
      </c>
      <c r="D833" s="5"/>
    </row>
    <row r="834" spans="1:4" ht="15.75">
      <c r="A834" s="17"/>
      <c r="B834" s="136" t="s">
        <v>11</v>
      </c>
      <c r="C834" s="137">
        <v>472.47</v>
      </c>
      <c r="D834" s="5"/>
    </row>
    <row r="835" spans="1:4" ht="15.75">
      <c r="A835" s="17"/>
      <c r="B835" s="82" t="s">
        <v>703</v>
      </c>
      <c r="C835" s="71">
        <f>C823*0.15</f>
        <v>4938.156</v>
      </c>
      <c r="D835" s="5"/>
    </row>
    <row r="836" spans="1:4" ht="15.75">
      <c r="A836" s="8">
        <v>5</v>
      </c>
      <c r="B836" s="79" t="s">
        <v>702</v>
      </c>
      <c r="C836" s="23">
        <f>C837</f>
        <v>29227.77</v>
      </c>
      <c r="D836" s="5"/>
    </row>
    <row r="837" spans="1:4" ht="12.75">
      <c r="A837" s="8"/>
      <c r="B837" s="37" t="s">
        <v>12</v>
      </c>
      <c r="C837" s="138">
        <v>29227.77</v>
      </c>
      <c r="D837" s="5"/>
    </row>
    <row r="838" spans="1:4" ht="12.75">
      <c r="A838" s="8"/>
      <c r="B838" s="37"/>
      <c r="C838" s="41"/>
      <c r="D838" s="5"/>
    </row>
    <row r="839" spans="1:3" ht="18">
      <c r="A839" s="8"/>
      <c r="B839" s="73" t="s">
        <v>683</v>
      </c>
      <c r="C839" s="59">
        <v>16816.35</v>
      </c>
    </row>
    <row r="840" spans="1:4" ht="18">
      <c r="A840" s="8"/>
      <c r="B840" s="73" t="s">
        <v>825</v>
      </c>
      <c r="C840" s="59">
        <f>C824-C829</f>
        <v>-9619.736000000004</v>
      </c>
      <c r="D840" s="75"/>
    </row>
    <row r="841" spans="1:3" ht="18.75">
      <c r="A841" s="8"/>
      <c r="B841" s="76" t="s">
        <v>652</v>
      </c>
      <c r="C841" s="59">
        <f>SUM(C839:C840)</f>
        <v>7196.613999999994</v>
      </c>
    </row>
    <row r="842" ht="51.75" customHeight="1"/>
    <row r="843" spans="2:4" ht="15">
      <c r="B843" s="196" t="s">
        <v>609</v>
      </c>
      <c r="C843" s="196"/>
      <c r="D843" s="196"/>
    </row>
    <row r="844" spans="2:4" ht="15">
      <c r="B844" s="197" t="s">
        <v>704</v>
      </c>
      <c r="C844" s="197"/>
      <c r="D844" s="1"/>
    </row>
    <row r="845" spans="2:4" ht="18.75">
      <c r="B845" s="198" t="s">
        <v>13</v>
      </c>
      <c r="C845" s="198"/>
      <c r="D845" s="198"/>
    </row>
    <row r="846" spans="2:4" ht="15.75">
      <c r="B846" s="199" t="s">
        <v>612</v>
      </c>
      <c r="C846" s="199"/>
      <c r="D846" s="199"/>
    </row>
    <row r="847" spans="2:4" ht="14.25">
      <c r="B847" s="6"/>
      <c r="C847" s="7"/>
      <c r="D847" s="5"/>
    </row>
    <row r="848" spans="1:4" ht="15">
      <c r="A848" s="8"/>
      <c r="B848" s="9" t="s">
        <v>613</v>
      </c>
      <c r="C848" s="10">
        <v>2425.6</v>
      </c>
      <c r="D848" s="5"/>
    </row>
    <row r="849" spans="1:4" ht="12.75">
      <c r="A849" s="8"/>
      <c r="B849" s="94" t="s">
        <v>14</v>
      </c>
      <c r="C849" s="12">
        <v>5.19</v>
      </c>
      <c r="D849" s="13"/>
    </row>
    <row r="850" spans="1:4" ht="12.75">
      <c r="A850" s="8"/>
      <c r="B850" s="139" t="s">
        <v>15</v>
      </c>
      <c r="C850" s="12">
        <v>8.9</v>
      </c>
      <c r="D850" s="13"/>
    </row>
    <row r="851" spans="1:4" ht="36.75">
      <c r="A851" s="8"/>
      <c r="B851" s="140" t="s">
        <v>16</v>
      </c>
      <c r="C851" s="16">
        <v>69297.03</v>
      </c>
      <c r="D851" s="13"/>
    </row>
    <row r="852" spans="1:4" ht="18.75">
      <c r="A852" s="17">
        <v>1</v>
      </c>
      <c r="B852" s="18" t="s">
        <v>617</v>
      </c>
      <c r="C852" s="16">
        <f>C853+C854</f>
        <v>629126.6</v>
      </c>
      <c r="D852" s="5"/>
    </row>
    <row r="853" spans="1:4" ht="15">
      <c r="A853" s="17" t="s">
        <v>706</v>
      </c>
      <c r="B853" s="19" t="s">
        <v>707</v>
      </c>
      <c r="C853" s="20">
        <f>151066.67+259054.08</f>
        <v>410120.75</v>
      </c>
      <c r="D853" s="5"/>
    </row>
    <row r="854" spans="1:4" ht="15">
      <c r="A854" s="17" t="s">
        <v>708</v>
      </c>
      <c r="B854" s="19" t="s">
        <v>709</v>
      </c>
      <c r="C854" s="20">
        <f>77339.74+141666.11</f>
        <v>219005.84999999998</v>
      </c>
      <c r="D854" s="5"/>
    </row>
    <row r="855" spans="1:4" ht="18">
      <c r="A855" s="17">
        <v>2</v>
      </c>
      <c r="B855" s="18" t="s">
        <v>620</v>
      </c>
      <c r="C855" s="21">
        <f>C856+C857</f>
        <v>588215.6499999999</v>
      </c>
      <c r="D855" s="13"/>
    </row>
    <row r="856" spans="1:4" ht="15.75">
      <c r="A856" s="17" t="s">
        <v>621</v>
      </c>
      <c r="B856" s="22" t="s">
        <v>712</v>
      </c>
      <c r="C856" s="23">
        <f>142155.58+243785.76</f>
        <v>385941.33999999997</v>
      </c>
      <c r="D856" s="13"/>
    </row>
    <row r="857" spans="1:4" ht="15.75">
      <c r="A857" s="17" t="s">
        <v>623</v>
      </c>
      <c r="B857" s="22" t="s">
        <v>619</v>
      </c>
      <c r="C857" s="23">
        <f>71301.02+130973.29</f>
        <v>202274.31</v>
      </c>
      <c r="D857" s="5"/>
    </row>
    <row r="858" spans="1:4" ht="36">
      <c r="A858" s="17">
        <v>5</v>
      </c>
      <c r="B858" s="24" t="s">
        <v>625</v>
      </c>
      <c r="C858" s="85">
        <f>C859+C861</f>
        <v>784789.4225000001</v>
      </c>
      <c r="D858" s="13"/>
    </row>
    <row r="859" spans="1:4" ht="18.75">
      <c r="A859" s="86" t="s">
        <v>627</v>
      </c>
      <c r="B859" s="87" t="s">
        <v>626</v>
      </c>
      <c r="C859" s="27">
        <f>C860</f>
        <v>208399.8</v>
      </c>
      <c r="D859" s="13"/>
    </row>
    <row r="860" spans="1:4" ht="15.75">
      <c r="A860" s="17"/>
      <c r="B860" s="87" t="s">
        <v>713</v>
      </c>
      <c r="C860" s="88">
        <f>3540*58.87</f>
        <v>208399.8</v>
      </c>
      <c r="D860" s="13"/>
    </row>
    <row r="861" spans="1:4" ht="18.75">
      <c r="A861" s="17" t="s">
        <v>629</v>
      </c>
      <c r="B861" s="87" t="s">
        <v>630</v>
      </c>
      <c r="C861" s="27">
        <f>C862+C863+C864+C865+C866+C867+C868+C869+C870</f>
        <v>576389.6225</v>
      </c>
      <c r="D861" s="13"/>
    </row>
    <row r="862" spans="1:4" ht="25.5">
      <c r="A862" s="30" t="s">
        <v>631</v>
      </c>
      <c r="B862" s="31" t="s">
        <v>632</v>
      </c>
      <c r="C862" s="32">
        <f>55674.78+396.54</f>
        <v>56071.32</v>
      </c>
      <c r="D862" s="5"/>
    </row>
    <row r="863" spans="1:4" ht="12.75">
      <c r="A863" s="17" t="s">
        <v>633</v>
      </c>
      <c r="B863" s="33" t="s">
        <v>17</v>
      </c>
      <c r="C863" s="34">
        <v>97.14</v>
      </c>
      <c r="D863" s="5"/>
    </row>
    <row r="864" spans="1:4" ht="12.75">
      <c r="A864" s="17" t="s">
        <v>637</v>
      </c>
      <c r="B864" s="35" t="s">
        <v>18</v>
      </c>
      <c r="C864" s="34">
        <v>9656.19</v>
      </c>
      <c r="D864" s="5"/>
    </row>
    <row r="865" spans="1:4" ht="12.75">
      <c r="A865" s="30" t="s">
        <v>639</v>
      </c>
      <c r="B865" s="33" t="s">
        <v>19</v>
      </c>
      <c r="C865" s="34">
        <f>9.9*230*12</f>
        <v>27324</v>
      </c>
      <c r="D865" s="5"/>
    </row>
    <row r="866" spans="1:4" ht="12.75">
      <c r="A866" s="30" t="s">
        <v>641</v>
      </c>
      <c r="B866" s="35" t="s">
        <v>20</v>
      </c>
      <c r="C866" s="34">
        <v>55868.04</v>
      </c>
      <c r="D866" s="5"/>
    </row>
    <row r="867" spans="1:4" ht="12.75">
      <c r="A867" s="30" t="s">
        <v>643</v>
      </c>
      <c r="B867" s="141" t="s">
        <v>21</v>
      </c>
      <c r="C867" s="34">
        <v>1910</v>
      </c>
      <c r="D867" s="5"/>
    </row>
    <row r="868" spans="1:4" ht="24">
      <c r="A868" s="30" t="s">
        <v>645</v>
      </c>
      <c r="B868" s="129" t="s">
        <v>22</v>
      </c>
      <c r="C868" s="34">
        <v>1650</v>
      </c>
      <c r="D868" s="5"/>
    </row>
    <row r="869" spans="1:4" ht="12.75">
      <c r="A869" s="30" t="s">
        <v>647</v>
      </c>
      <c r="B869" s="33" t="s">
        <v>23</v>
      </c>
      <c r="C869" s="34">
        <f>C853*0.15</f>
        <v>61518.112499999996</v>
      </c>
      <c r="D869" s="5"/>
    </row>
    <row r="870" spans="1:4" ht="12.75">
      <c r="A870" s="17" t="s">
        <v>717</v>
      </c>
      <c r="B870" s="33" t="s">
        <v>24</v>
      </c>
      <c r="C870" s="34">
        <v>362294.82</v>
      </c>
      <c r="D870" s="13"/>
    </row>
    <row r="871" spans="1:4" ht="12.75">
      <c r="A871" s="17"/>
      <c r="B871" s="37"/>
      <c r="C871" s="41"/>
      <c r="D871" s="13"/>
    </row>
    <row r="872" spans="1:4" ht="30">
      <c r="A872" s="8"/>
      <c r="B872" s="45" t="s">
        <v>25</v>
      </c>
      <c r="C872" s="46">
        <f>C855-C858</f>
        <v>-196573.7725000002</v>
      </c>
      <c r="D872" s="5"/>
    </row>
    <row r="873" spans="1:4" ht="15.75">
      <c r="A873" s="8"/>
      <c r="B873" s="45" t="s">
        <v>26</v>
      </c>
      <c r="C873" s="46">
        <v>78074.88</v>
      </c>
      <c r="D873" s="5"/>
    </row>
    <row r="874" spans="1:4" ht="15.75">
      <c r="A874" s="8"/>
      <c r="B874" s="45" t="s">
        <v>652</v>
      </c>
      <c r="C874" s="46">
        <f>C872+C873</f>
        <v>-118498.89250000019</v>
      </c>
      <c r="D874" s="5"/>
    </row>
    <row r="875" spans="1:4" ht="15.75">
      <c r="A875" s="8"/>
      <c r="B875" s="45"/>
      <c r="C875" s="46"/>
      <c r="D875" s="5"/>
    </row>
    <row r="876" spans="1:4" ht="36">
      <c r="A876" s="8"/>
      <c r="B876" s="140" t="s">
        <v>27</v>
      </c>
      <c r="C876" s="46">
        <f>C855-(C851+C852)</f>
        <v>-110207.9800000001</v>
      </c>
      <c r="D876" s="13"/>
    </row>
    <row r="877" spans="1:4" ht="15.75">
      <c r="A877" s="8"/>
      <c r="B877" s="45" t="s">
        <v>654</v>
      </c>
      <c r="C877" s="46">
        <v>-67513.59</v>
      </c>
      <c r="D877" s="5"/>
    </row>
    <row r="878" spans="1:4" ht="15.75">
      <c r="A878" s="8"/>
      <c r="B878" s="45" t="s">
        <v>726</v>
      </c>
      <c r="C878" s="46">
        <v>-42694.39</v>
      </c>
      <c r="D878" s="5"/>
    </row>
    <row r="879" spans="1:3" ht="15.75">
      <c r="A879" s="8"/>
      <c r="B879" s="98"/>
      <c r="C879" s="99"/>
    </row>
    <row r="880" spans="1:3" ht="15.75">
      <c r="A880" s="8"/>
      <c r="B880" s="98"/>
      <c r="C880" s="23"/>
    </row>
    <row r="881" ht="50.25" customHeight="1"/>
    <row r="882" spans="2:4" ht="15">
      <c r="B882" s="196" t="s">
        <v>609</v>
      </c>
      <c r="C882" s="196"/>
      <c r="D882" s="196"/>
    </row>
    <row r="883" spans="2:4" ht="15">
      <c r="B883" s="197" t="s">
        <v>610</v>
      </c>
      <c r="C883" s="197"/>
      <c r="D883" s="1"/>
    </row>
    <row r="884" spans="2:4" ht="18.75">
      <c r="B884" s="198" t="s">
        <v>28</v>
      </c>
      <c r="C884" s="198"/>
      <c r="D884" s="198"/>
    </row>
    <row r="885" spans="2:4" ht="15.75">
      <c r="B885" s="199" t="s">
        <v>612</v>
      </c>
      <c r="C885" s="199"/>
      <c r="D885" s="199"/>
    </row>
    <row r="886" spans="2:4" ht="12.75">
      <c r="B886" s="3"/>
      <c r="C886" s="4"/>
      <c r="D886" s="5"/>
    </row>
    <row r="887" spans="2:4" ht="14.25">
      <c r="B887" s="6"/>
      <c r="C887" s="7"/>
      <c r="D887" s="5"/>
    </row>
    <row r="888" spans="1:4" ht="15.75">
      <c r="A888" s="8"/>
      <c r="B888" s="51" t="s">
        <v>613</v>
      </c>
      <c r="C888" s="99">
        <v>403.56</v>
      </c>
      <c r="D888" s="5"/>
    </row>
    <row r="889" spans="1:4" ht="15">
      <c r="A889" s="8"/>
      <c r="B889" s="53" t="s">
        <v>667</v>
      </c>
      <c r="C889" s="54">
        <v>3.2</v>
      </c>
      <c r="D889" s="13"/>
    </row>
    <row r="890" spans="1:4" ht="15">
      <c r="A890" s="8"/>
      <c r="B890" s="55" t="s">
        <v>615</v>
      </c>
      <c r="C890" s="56">
        <v>5.49</v>
      </c>
      <c r="D890" s="13"/>
    </row>
    <row r="891" spans="1:4" ht="18.75">
      <c r="A891" s="8"/>
      <c r="B891" s="15" t="s">
        <v>616</v>
      </c>
      <c r="C891" s="57">
        <f>713.37+1222.15</f>
        <v>1935.52</v>
      </c>
      <c r="D891" s="13"/>
    </row>
    <row r="892" spans="1:4" ht="18">
      <c r="A892" s="17">
        <v>1</v>
      </c>
      <c r="B892" s="18" t="s">
        <v>668</v>
      </c>
      <c r="C892" s="21">
        <f>15496.6+26586.24</f>
        <v>42082.840000000004</v>
      </c>
      <c r="D892" s="5"/>
    </row>
    <row r="893" spans="1:4" ht="18">
      <c r="A893" s="17">
        <v>2</v>
      </c>
      <c r="B893" s="58" t="s">
        <v>669</v>
      </c>
      <c r="C893" s="59">
        <f>(C891+C892)-C895</f>
        <v>39994.44</v>
      </c>
      <c r="D893" s="5"/>
    </row>
    <row r="894" spans="1:4" ht="15">
      <c r="A894" s="17">
        <v>3</v>
      </c>
      <c r="B894" s="19" t="s">
        <v>670</v>
      </c>
      <c r="C894" s="20"/>
      <c r="D894" s="5"/>
    </row>
    <row r="895" spans="1:4" ht="18.75">
      <c r="A895" s="17"/>
      <c r="B895" s="60" t="s">
        <v>671</v>
      </c>
      <c r="C895" s="16">
        <f>1481.79+2542.13</f>
        <v>4023.92</v>
      </c>
      <c r="D895" s="5"/>
    </row>
    <row r="896" spans="1:4" ht="15">
      <c r="A896" s="61"/>
      <c r="B896" s="62"/>
      <c r="C896" s="63"/>
      <c r="D896" s="5"/>
    </row>
    <row r="897" spans="1:4" ht="15">
      <c r="A897" s="61"/>
      <c r="B897" s="62"/>
      <c r="C897" s="63"/>
      <c r="D897" s="5"/>
    </row>
    <row r="898" spans="1:4" ht="31.5">
      <c r="A898" s="17">
        <v>4</v>
      </c>
      <c r="B898" s="64" t="s">
        <v>625</v>
      </c>
      <c r="C898" s="65">
        <f>C899+C900+C901+C902+C903+C904+C905</f>
        <v>69615.28600000001</v>
      </c>
      <c r="D898" s="5"/>
    </row>
    <row r="899" spans="1:4" ht="26.25">
      <c r="A899" s="30" t="s">
        <v>672</v>
      </c>
      <c r="B899" s="31" t="s">
        <v>632</v>
      </c>
      <c r="C899" s="66">
        <v>1411.96</v>
      </c>
      <c r="D899" s="5"/>
    </row>
    <row r="900" spans="1:4" ht="12.75">
      <c r="A900" s="17" t="s">
        <v>697</v>
      </c>
      <c r="B900" s="142" t="s">
        <v>29</v>
      </c>
      <c r="C900" s="32">
        <v>472.47</v>
      </c>
      <c r="D900" s="5"/>
    </row>
    <row r="901" spans="1:4" ht="15.75">
      <c r="A901" s="17" t="s">
        <v>673</v>
      </c>
      <c r="B901" s="79" t="s">
        <v>699</v>
      </c>
      <c r="C901" s="23">
        <v>28.46</v>
      </c>
      <c r="D901" s="5"/>
    </row>
    <row r="902" spans="1:4" ht="25.5">
      <c r="A902" s="17" t="s">
        <v>676</v>
      </c>
      <c r="B902" s="109" t="s">
        <v>30</v>
      </c>
      <c r="C902" s="34">
        <f>762.86+821.67</f>
        <v>1584.53</v>
      </c>
      <c r="D902" s="5"/>
    </row>
    <row r="903" spans="1:4" ht="15.75">
      <c r="A903" s="17" t="s">
        <v>31</v>
      </c>
      <c r="B903" s="81" t="s">
        <v>32</v>
      </c>
      <c r="C903" s="69">
        <f>1.5*230*12</f>
        <v>4140</v>
      </c>
      <c r="D903" s="5"/>
    </row>
    <row r="904" spans="1:4" ht="15.75">
      <c r="A904" s="8" t="s">
        <v>33</v>
      </c>
      <c r="B904" s="82" t="s">
        <v>703</v>
      </c>
      <c r="C904" s="71">
        <f>C892*0.15</f>
        <v>6312.426</v>
      </c>
      <c r="D904" s="5"/>
    </row>
    <row r="905" spans="1:4" ht="15.75">
      <c r="A905" s="8" t="s">
        <v>34</v>
      </c>
      <c r="B905" s="79" t="s">
        <v>35</v>
      </c>
      <c r="C905" s="23">
        <v>55665.44</v>
      </c>
      <c r="D905" s="5"/>
    </row>
    <row r="906" spans="1:3" ht="18">
      <c r="A906" s="8"/>
      <c r="B906" s="73" t="s">
        <v>683</v>
      </c>
      <c r="C906" s="74">
        <v>25362.31</v>
      </c>
    </row>
    <row r="907" spans="1:4" ht="18">
      <c r="A907" s="8"/>
      <c r="B907" s="73" t="s">
        <v>36</v>
      </c>
      <c r="C907" s="59">
        <f>C893-C898</f>
        <v>-29620.846000000005</v>
      </c>
      <c r="D907" s="75"/>
    </row>
    <row r="908" spans="1:3" ht="18.75">
      <c r="A908" s="8"/>
      <c r="B908" s="76" t="s">
        <v>652</v>
      </c>
      <c r="C908" s="74">
        <f>SUM(C906:C907)</f>
        <v>-4258.536000000004</v>
      </c>
    </row>
    <row r="909" ht="51" customHeight="1"/>
    <row r="910" spans="2:4" ht="15">
      <c r="B910" s="196" t="s">
        <v>609</v>
      </c>
      <c r="C910" s="196"/>
      <c r="D910" s="196"/>
    </row>
    <row r="911" spans="2:4" ht="15">
      <c r="B911" s="197" t="s">
        <v>610</v>
      </c>
      <c r="C911" s="197"/>
      <c r="D911" s="1"/>
    </row>
    <row r="912" spans="2:4" ht="18.75">
      <c r="B912" s="198" t="s">
        <v>37</v>
      </c>
      <c r="C912" s="198"/>
      <c r="D912" s="198"/>
    </row>
    <row r="913" spans="2:4" ht="15.75">
      <c r="B913" s="199" t="s">
        <v>612</v>
      </c>
      <c r="C913" s="199"/>
      <c r="D913" s="199"/>
    </row>
    <row r="914" spans="2:4" ht="12.75">
      <c r="B914" s="3"/>
      <c r="C914" s="4"/>
      <c r="D914" s="5"/>
    </row>
    <row r="915" spans="2:4" ht="14.25">
      <c r="B915" s="6"/>
      <c r="C915" s="7"/>
      <c r="D915" s="5"/>
    </row>
    <row r="916" spans="1:4" ht="15.75">
      <c r="A916" s="8"/>
      <c r="B916" s="51" t="s">
        <v>613</v>
      </c>
      <c r="C916" s="99">
        <v>228.39</v>
      </c>
      <c r="D916" s="5"/>
    </row>
    <row r="917" spans="1:4" ht="15">
      <c r="A917" s="8"/>
      <c r="B917" s="53" t="s">
        <v>667</v>
      </c>
      <c r="C917" s="54">
        <v>3.2</v>
      </c>
      <c r="D917" s="13"/>
    </row>
    <row r="918" spans="1:4" ht="15">
      <c r="A918" s="8"/>
      <c r="B918" s="55" t="s">
        <v>615</v>
      </c>
      <c r="C918" s="56">
        <v>5.49</v>
      </c>
      <c r="D918" s="13"/>
    </row>
    <row r="919" spans="1:4" ht="18.75">
      <c r="A919" s="8"/>
      <c r="B919" s="15" t="s">
        <v>616</v>
      </c>
      <c r="C919" s="57">
        <f>159.43+273.14</f>
        <v>432.57</v>
      </c>
      <c r="D919" s="13"/>
    </row>
    <row r="920" spans="1:4" ht="18">
      <c r="A920" s="17">
        <v>1</v>
      </c>
      <c r="B920" s="18" t="s">
        <v>668</v>
      </c>
      <c r="C920" s="21">
        <f>8769.4+15044.97</f>
        <v>23814.37</v>
      </c>
      <c r="D920" s="5"/>
    </row>
    <row r="921" spans="1:4" ht="18">
      <c r="A921" s="17">
        <v>2</v>
      </c>
      <c r="B921" s="58" t="s">
        <v>669</v>
      </c>
      <c r="C921" s="59">
        <f>(C919+C920)-C923</f>
        <v>21764.05</v>
      </c>
      <c r="D921" s="5"/>
    </row>
    <row r="922" spans="1:4" ht="15">
      <c r="A922" s="17">
        <v>3</v>
      </c>
      <c r="B922" s="19" t="s">
        <v>670</v>
      </c>
      <c r="C922" s="20"/>
      <c r="D922" s="5"/>
    </row>
    <row r="923" spans="1:4" ht="18.75">
      <c r="A923" s="17"/>
      <c r="B923" s="60" t="s">
        <v>671</v>
      </c>
      <c r="C923" s="16">
        <f>914.31+1568.58</f>
        <v>2482.89</v>
      </c>
      <c r="D923" s="5"/>
    </row>
    <row r="924" spans="1:4" ht="15">
      <c r="A924" s="61"/>
      <c r="B924" s="62"/>
      <c r="C924" s="63"/>
      <c r="D924" s="5"/>
    </row>
    <row r="925" spans="1:4" ht="15">
      <c r="A925" s="61"/>
      <c r="B925" s="62"/>
      <c r="C925" s="63"/>
      <c r="D925" s="5"/>
    </row>
    <row r="926" spans="1:4" ht="31.5">
      <c r="A926" s="17">
        <v>4</v>
      </c>
      <c r="B926" s="64" t="s">
        <v>625</v>
      </c>
      <c r="C926" s="27">
        <f>C927+C928+C929+C930+C931+C932</f>
        <v>34373.9255</v>
      </c>
      <c r="D926" s="5"/>
    </row>
    <row r="927" spans="1:4" ht="26.25">
      <c r="A927" s="30" t="s">
        <v>672</v>
      </c>
      <c r="B927" s="31" t="s">
        <v>632</v>
      </c>
      <c r="C927" s="66">
        <v>1121.08</v>
      </c>
      <c r="D927" s="5"/>
    </row>
    <row r="928" spans="1:4" ht="15.75">
      <c r="A928" s="17" t="s">
        <v>697</v>
      </c>
      <c r="B928" s="83" t="s">
        <v>38</v>
      </c>
      <c r="C928" s="66">
        <v>850.95</v>
      </c>
      <c r="D928" s="5"/>
    </row>
    <row r="929" spans="1:4" ht="15.75">
      <c r="A929" s="17" t="s">
        <v>673</v>
      </c>
      <c r="B929" s="79" t="s">
        <v>699</v>
      </c>
      <c r="C929" s="23">
        <v>16.14</v>
      </c>
      <c r="D929" s="5"/>
    </row>
    <row r="930" spans="1:4" ht="15.75">
      <c r="A930" s="17" t="s">
        <v>31</v>
      </c>
      <c r="B930" s="81" t="s">
        <v>39</v>
      </c>
      <c r="C930" s="69">
        <f>1*230*12</f>
        <v>2760</v>
      </c>
      <c r="D930" s="5"/>
    </row>
    <row r="931" spans="1:4" ht="15.75">
      <c r="A931" s="8" t="s">
        <v>33</v>
      </c>
      <c r="B931" s="82" t="s">
        <v>703</v>
      </c>
      <c r="C931" s="71">
        <f>C920*0.15</f>
        <v>3572.1555</v>
      </c>
      <c r="D931" s="5"/>
    </row>
    <row r="932" spans="1:4" ht="15.75">
      <c r="A932" s="8" t="s">
        <v>34</v>
      </c>
      <c r="B932" s="79" t="s">
        <v>35</v>
      </c>
      <c r="C932" s="23">
        <f>C934+C935+C936+C937</f>
        <v>26053.600000000002</v>
      </c>
      <c r="D932" s="5"/>
    </row>
    <row r="933" spans="1:4" ht="15.75">
      <c r="A933" s="8"/>
      <c r="B933" s="82" t="s">
        <v>40</v>
      </c>
      <c r="C933" s="23"/>
      <c r="D933" s="5"/>
    </row>
    <row r="934" spans="1:4" ht="12.75">
      <c r="A934" s="8"/>
      <c r="B934" s="37" t="s">
        <v>41</v>
      </c>
      <c r="C934" s="41">
        <v>605.18</v>
      </c>
      <c r="D934" s="5"/>
    </row>
    <row r="935" spans="1:4" ht="12.75">
      <c r="A935" s="8"/>
      <c r="B935" s="37" t="s">
        <v>42</v>
      </c>
      <c r="C935" s="41">
        <v>307.22</v>
      </c>
      <c r="D935" s="5"/>
    </row>
    <row r="936" spans="1:4" ht="24">
      <c r="A936" s="8"/>
      <c r="B936" s="37" t="s">
        <v>43</v>
      </c>
      <c r="C936" s="41">
        <v>24839.99</v>
      </c>
      <c r="D936" s="5"/>
    </row>
    <row r="937" spans="1:4" ht="12.75">
      <c r="A937" s="8"/>
      <c r="B937" s="37" t="s">
        <v>44</v>
      </c>
      <c r="C937" s="41">
        <v>301.21</v>
      </c>
      <c r="D937" s="5"/>
    </row>
    <row r="938" spans="1:4" ht="12.75">
      <c r="A938" s="8"/>
      <c r="B938" s="37"/>
      <c r="C938" s="41"/>
      <c r="D938" s="5"/>
    </row>
    <row r="939" spans="1:3" ht="18">
      <c r="A939" s="8"/>
      <c r="B939" s="73" t="s">
        <v>683</v>
      </c>
      <c r="C939" s="74">
        <v>31514.33</v>
      </c>
    </row>
    <row r="940" spans="1:4" ht="18">
      <c r="A940" s="8"/>
      <c r="B940" s="73" t="s">
        <v>36</v>
      </c>
      <c r="C940" s="59">
        <f>C921-C926</f>
        <v>-12609.875499999998</v>
      </c>
      <c r="D940" s="75"/>
    </row>
    <row r="941" spans="1:3" ht="18.75">
      <c r="A941" s="8"/>
      <c r="B941" s="76" t="s">
        <v>652</v>
      </c>
      <c r="C941" s="74">
        <f>SUM(C939:C940)</f>
        <v>18904.454500000003</v>
      </c>
    </row>
    <row r="942" ht="52.5" customHeight="1"/>
    <row r="943" spans="2:4" ht="15">
      <c r="B943" s="196" t="s">
        <v>609</v>
      </c>
      <c r="C943" s="196"/>
      <c r="D943" s="196"/>
    </row>
    <row r="944" spans="2:4" ht="15">
      <c r="B944" s="197" t="s">
        <v>610</v>
      </c>
      <c r="C944" s="197"/>
      <c r="D944" s="1"/>
    </row>
    <row r="945" spans="2:4" ht="18.75">
      <c r="B945" s="198" t="s">
        <v>45</v>
      </c>
      <c r="C945" s="198"/>
      <c r="D945" s="198"/>
    </row>
    <row r="946" spans="2:4" ht="15.75">
      <c r="B946" s="199" t="s">
        <v>612</v>
      </c>
      <c r="C946" s="199"/>
      <c r="D946" s="199"/>
    </row>
    <row r="947" spans="2:4" ht="12.75">
      <c r="B947" s="3"/>
      <c r="C947" s="4"/>
      <c r="D947" s="5"/>
    </row>
    <row r="948" spans="2:4" ht="14.25">
      <c r="B948" s="6"/>
      <c r="C948" s="7"/>
      <c r="D948" s="5"/>
    </row>
    <row r="949" spans="1:4" ht="15.75">
      <c r="A949" s="8"/>
      <c r="B949" s="51" t="s">
        <v>46</v>
      </c>
      <c r="C949" s="99">
        <v>515.35</v>
      </c>
      <c r="D949" s="5"/>
    </row>
    <row r="950" spans="1:4" ht="15">
      <c r="A950" s="8"/>
      <c r="B950" s="53" t="s">
        <v>667</v>
      </c>
      <c r="C950" s="54">
        <v>3.74</v>
      </c>
      <c r="D950" s="13"/>
    </row>
    <row r="951" spans="1:4" ht="15">
      <c r="A951" s="8"/>
      <c r="B951" s="55" t="s">
        <v>615</v>
      </c>
      <c r="C951" s="56">
        <v>6.42</v>
      </c>
      <c r="D951" s="13"/>
    </row>
    <row r="952" spans="1:4" ht="18.75">
      <c r="A952" s="8"/>
      <c r="B952" s="15" t="s">
        <v>616</v>
      </c>
      <c r="C952" s="57">
        <f>7867.21+13478.93</f>
        <v>21346.14</v>
      </c>
      <c r="D952" s="13"/>
    </row>
    <row r="953" spans="1:4" ht="18">
      <c r="A953" s="17">
        <v>1</v>
      </c>
      <c r="B953" s="18" t="s">
        <v>668</v>
      </c>
      <c r="C953" s="21">
        <f>23121.84+39690.64</f>
        <v>62812.479999999996</v>
      </c>
      <c r="D953" s="5"/>
    </row>
    <row r="954" spans="1:4" ht="18">
      <c r="A954" s="17">
        <v>2</v>
      </c>
      <c r="B954" s="58" t="s">
        <v>669</v>
      </c>
      <c r="C954" s="59">
        <f>(C952+C953)-C956</f>
        <v>48943.25</v>
      </c>
      <c r="D954" s="5"/>
    </row>
    <row r="955" spans="1:4" ht="15">
      <c r="A955" s="17">
        <v>3</v>
      </c>
      <c r="B955" s="19" t="s">
        <v>670</v>
      </c>
      <c r="C955" s="20"/>
      <c r="D955" s="5"/>
    </row>
    <row r="956" spans="1:4" ht="18.75">
      <c r="A956" s="17"/>
      <c r="B956" s="60" t="s">
        <v>671</v>
      </c>
      <c r="C956" s="16">
        <f>12970.75+22244.62</f>
        <v>35215.369999999995</v>
      </c>
      <c r="D956" s="5"/>
    </row>
    <row r="957" spans="1:4" ht="15">
      <c r="A957" s="61"/>
      <c r="B957" s="62"/>
      <c r="C957" s="63"/>
      <c r="D957" s="5"/>
    </row>
    <row r="958" spans="1:4" ht="15">
      <c r="A958" s="61"/>
      <c r="B958" s="62"/>
      <c r="C958" s="63"/>
      <c r="D958" s="5"/>
    </row>
    <row r="959" spans="1:4" ht="31.5">
      <c r="A959" s="17">
        <v>4</v>
      </c>
      <c r="B959" s="64" t="s">
        <v>625</v>
      </c>
      <c r="C959" s="27">
        <f>C960+C961+C962+C963+C964+C965+C966</f>
        <v>35866.952000000005</v>
      </c>
      <c r="D959" s="5"/>
    </row>
    <row r="960" spans="1:4" ht="26.25">
      <c r="A960" s="30" t="s">
        <v>672</v>
      </c>
      <c r="B960" s="31" t="s">
        <v>632</v>
      </c>
      <c r="C960" s="66">
        <v>11191.35</v>
      </c>
      <c r="D960" s="5"/>
    </row>
    <row r="961" spans="1:4" ht="15.75">
      <c r="A961" s="17" t="s">
        <v>697</v>
      </c>
      <c r="B961" s="79" t="s">
        <v>47</v>
      </c>
      <c r="C961" s="23">
        <v>1341.99</v>
      </c>
      <c r="D961" s="5"/>
    </row>
    <row r="962" spans="1:4" ht="15.75">
      <c r="A962" s="17" t="s">
        <v>673</v>
      </c>
      <c r="B962" s="79" t="s">
        <v>674</v>
      </c>
      <c r="C962" s="23">
        <v>36.53</v>
      </c>
      <c r="D962" s="5"/>
    </row>
    <row r="963" spans="1:4" ht="15.75">
      <c r="A963" s="17" t="s">
        <v>31</v>
      </c>
      <c r="B963" s="81" t="s">
        <v>48</v>
      </c>
      <c r="C963" s="69">
        <f>2.6*230*12</f>
        <v>7176</v>
      </c>
      <c r="D963" s="5"/>
    </row>
    <row r="964" spans="1:4" ht="15.75">
      <c r="A964" s="17"/>
      <c r="B964" s="83" t="s">
        <v>49</v>
      </c>
      <c r="C964" s="23">
        <v>1600</v>
      </c>
      <c r="D964" s="5"/>
    </row>
    <row r="965" spans="1:4" ht="15.75">
      <c r="A965" s="8" t="s">
        <v>33</v>
      </c>
      <c r="B965" s="82" t="s">
        <v>646</v>
      </c>
      <c r="C965" s="71">
        <f>C953*0.15</f>
        <v>9421.872</v>
      </c>
      <c r="D965" s="5"/>
    </row>
    <row r="966" spans="1:4" ht="15.75">
      <c r="A966" s="8" t="s">
        <v>34</v>
      </c>
      <c r="B966" s="79" t="s">
        <v>679</v>
      </c>
      <c r="C966" s="23">
        <f>C968+C969</f>
        <v>5099.209999999999</v>
      </c>
      <c r="D966" s="5"/>
    </row>
    <row r="967" spans="1:4" ht="15.75">
      <c r="A967" s="8"/>
      <c r="B967" s="143" t="s">
        <v>50</v>
      </c>
      <c r="C967" s="23"/>
      <c r="D967" s="5"/>
    </row>
    <row r="968" spans="1:4" ht="12.75">
      <c r="A968" s="8"/>
      <c r="B968" s="144" t="s">
        <v>51</v>
      </c>
      <c r="C968" s="96">
        <f>2428.69+2581.7</f>
        <v>5010.389999999999</v>
      </c>
      <c r="D968" s="5"/>
    </row>
    <row r="969" spans="1:4" ht="12.75">
      <c r="A969" s="8"/>
      <c r="B969" s="144" t="s">
        <v>52</v>
      </c>
      <c r="C969" s="96">
        <v>88.82</v>
      </c>
      <c r="D969" s="5"/>
    </row>
    <row r="970" spans="1:4" ht="12.75">
      <c r="A970" s="8"/>
      <c r="B970" s="145"/>
      <c r="C970" s="78"/>
      <c r="D970" s="5"/>
    </row>
    <row r="971" spans="1:3" ht="18">
      <c r="A971" s="8"/>
      <c r="B971" s="73" t="s">
        <v>683</v>
      </c>
      <c r="C971" s="59">
        <v>2065.24</v>
      </c>
    </row>
    <row r="972" spans="1:4" ht="18">
      <c r="A972" s="8"/>
      <c r="B972" s="73" t="s">
        <v>53</v>
      </c>
      <c r="C972" s="59">
        <f>C954-C959</f>
        <v>13076.297999999995</v>
      </c>
      <c r="D972" s="75"/>
    </row>
    <row r="973" spans="1:3" ht="18.75">
      <c r="A973" s="8"/>
      <c r="B973" s="76" t="s">
        <v>54</v>
      </c>
      <c r="C973" s="74">
        <f>SUM(C971:C972)</f>
        <v>15141.537999999995</v>
      </c>
    </row>
    <row r="974" ht="51.75" customHeight="1"/>
    <row r="975" spans="2:4" ht="15">
      <c r="B975" s="196" t="s">
        <v>609</v>
      </c>
      <c r="C975" s="196"/>
      <c r="D975" s="196"/>
    </row>
    <row r="976" spans="2:4" ht="15">
      <c r="B976" s="197" t="s">
        <v>610</v>
      </c>
      <c r="C976" s="197"/>
      <c r="D976" s="1"/>
    </row>
    <row r="977" spans="2:4" ht="18.75">
      <c r="B977" s="198" t="s">
        <v>55</v>
      </c>
      <c r="C977" s="198"/>
      <c r="D977" s="198"/>
    </row>
    <row r="978" spans="2:4" ht="15.75">
      <c r="B978" s="199" t="s">
        <v>612</v>
      </c>
      <c r="C978" s="199"/>
      <c r="D978" s="199"/>
    </row>
    <row r="979" spans="2:4" ht="12.75">
      <c r="B979" s="3"/>
      <c r="C979" s="4"/>
      <c r="D979" s="5"/>
    </row>
    <row r="980" spans="2:4" ht="14.25">
      <c r="B980" s="6"/>
      <c r="C980" s="7"/>
      <c r="D980" s="5"/>
    </row>
    <row r="981" spans="1:4" ht="15.75">
      <c r="A981" s="8"/>
      <c r="B981" s="51" t="s">
        <v>613</v>
      </c>
      <c r="C981" s="99">
        <v>392.01</v>
      </c>
      <c r="D981" s="5"/>
    </row>
    <row r="982" spans="1:4" ht="15">
      <c r="A982" s="8"/>
      <c r="B982" s="53" t="s">
        <v>667</v>
      </c>
      <c r="C982" s="54">
        <v>3.2</v>
      </c>
      <c r="D982" s="13"/>
    </row>
    <row r="983" spans="1:4" ht="15">
      <c r="A983" s="8"/>
      <c r="B983" s="55" t="s">
        <v>615</v>
      </c>
      <c r="C983" s="56">
        <v>5.49</v>
      </c>
      <c r="D983" s="13"/>
    </row>
    <row r="984" spans="1:4" ht="18.75">
      <c r="A984" s="8"/>
      <c r="B984" s="15" t="s">
        <v>616</v>
      </c>
      <c r="C984" s="57">
        <f>4619.07+7910.97</f>
        <v>12530.04</v>
      </c>
      <c r="D984" s="13"/>
    </row>
    <row r="985" spans="1:4" ht="18">
      <c r="A985" s="17">
        <v>1</v>
      </c>
      <c r="B985" s="18" t="s">
        <v>668</v>
      </c>
      <c r="C985" s="21">
        <f>15077.76+25867.8</f>
        <v>40945.56</v>
      </c>
      <c r="D985" s="5"/>
    </row>
    <row r="986" spans="1:4" ht="18">
      <c r="A986" s="17">
        <v>2</v>
      </c>
      <c r="B986" s="58" t="s">
        <v>669</v>
      </c>
      <c r="C986" s="59">
        <f>(C984+C985)-C988</f>
        <v>52313.299999999996</v>
      </c>
      <c r="D986" s="5"/>
    </row>
    <row r="987" spans="1:4" ht="15">
      <c r="A987" s="17">
        <v>3</v>
      </c>
      <c r="B987" s="19" t="s">
        <v>670</v>
      </c>
      <c r="C987" s="20"/>
      <c r="D987" s="5"/>
    </row>
    <row r="988" spans="1:4" ht="18.75">
      <c r="A988" s="17"/>
      <c r="B988" s="60" t="s">
        <v>671</v>
      </c>
      <c r="C988" s="16">
        <f>428.04+734.26</f>
        <v>1162.3</v>
      </c>
      <c r="D988" s="5"/>
    </row>
    <row r="989" spans="1:4" ht="15">
      <c r="A989" s="61"/>
      <c r="B989" s="62"/>
      <c r="C989" s="63"/>
      <c r="D989" s="5"/>
    </row>
    <row r="990" spans="1:4" ht="15">
      <c r="A990" s="61"/>
      <c r="B990" s="62"/>
      <c r="C990" s="63"/>
      <c r="D990" s="5"/>
    </row>
    <row r="991" spans="1:4" ht="31.5">
      <c r="A991" s="17">
        <v>4</v>
      </c>
      <c r="B991" s="64" t="s">
        <v>625</v>
      </c>
      <c r="C991" s="27">
        <f>C992+C993+C994+C995+C996+C997+C998+C999</f>
        <v>111268.454</v>
      </c>
      <c r="D991" s="5"/>
    </row>
    <row r="992" spans="1:4" ht="26.25">
      <c r="A992" s="30" t="s">
        <v>672</v>
      </c>
      <c r="B992" s="31" t="s">
        <v>632</v>
      </c>
      <c r="C992" s="66">
        <v>1064.15</v>
      </c>
      <c r="D992" s="5"/>
    </row>
    <row r="993" spans="1:4" ht="15.75">
      <c r="A993" s="17" t="s">
        <v>697</v>
      </c>
      <c r="B993" s="83" t="s">
        <v>38</v>
      </c>
      <c r="C993" s="66">
        <v>864.9</v>
      </c>
      <c r="D993" s="5"/>
    </row>
    <row r="994" spans="1:4" ht="15.75">
      <c r="A994" s="17"/>
      <c r="B994" s="146" t="s">
        <v>56</v>
      </c>
      <c r="C994" s="147">
        <v>157.49</v>
      </c>
      <c r="D994" s="5"/>
    </row>
    <row r="995" spans="1:4" ht="15.75">
      <c r="A995" s="17" t="s">
        <v>673</v>
      </c>
      <c r="B995" s="79" t="s">
        <v>699</v>
      </c>
      <c r="C995" s="23">
        <v>27.47</v>
      </c>
      <c r="D995" s="5"/>
    </row>
    <row r="996" spans="1:4" ht="15.75">
      <c r="A996" s="17" t="s">
        <v>31</v>
      </c>
      <c r="B996" s="81" t="s">
        <v>10</v>
      </c>
      <c r="C996" s="69">
        <f>1.7*230*12</f>
        <v>4692</v>
      </c>
      <c r="D996" s="5"/>
    </row>
    <row r="997" spans="1:4" ht="15.75">
      <c r="A997" s="17"/>
      <c r="B997" s="83" t="s">
        <v>57</v>
      </c>
      <c r="C997" s="23">
        <v>1600</v>
      </c>
      <c r="D997" s="5"/>
    </row>
    <row r="998" spans="1:4" ht="15.75">
      <c r="A998" s="8" t="s">
        <v>33</v>
      </c>
      <c r="B998" s="82" t="s">
        <v>703</v>
      </c>
      <c r="C998" s="71">
        <f>C985*0.15</f>
        <v>6141.834</v>
      </c>
      <c r="D998" s="5"/>
    </row>
    <row r="999" spans="1:4" ht="15.75">
      <c r="A999" s="8" t="s">
        <v>34</v>
      </c>
      <c r="B999" s="79" t="s">
        <v>35</v>
      </c>
      <c r="C999" s="23">
        <v>96720.61</v>
      </c>
      <c r="D999" s="5"/>
    </row>
    <row r="1000" spans="1:4" ht="12.75">
      <c r="A1000" s="8"/>
      <c r="B1000" s="37"/>
      <c r="C1000" s="41"/>
      <c r="D1000" s="5"/>
    </row>
    <row r="1001" spans="1:3" ht="18">
      <c r="A1001" s="8"/>
      <c r="B1001" s="73" t="s">
        <v>683</v>
      </c>
      <c r="C1001" s="74">
        <v>42757.54</v>
      </c>
    </row>
    <row r="1002" spans="1:4" ht="18">
      <c r="A1002" s="8"/>
      <c r="B1002" s="73" t="s">
        <v>36</v>
      </c>
      <c r="C1002" s="59">
        <f>C986-C991</f>
        <v>-58955.154</v>
      </c>
      <c r="D1002" s="75"/>
    </row>
    <row r="1003" spans="1:3" ht="18.75">
      <c r="A1003" s="8"/>
      <c r="B1003" s="76" t="s">
        <v>652</v>
      </c>
      <c r="C1003" s="74">
        <f>SUM(C1001:C1002)</f>
        <v>-16197.614000000001</v>
      </c>
    </row>
    <row r="1004" ht="51" customHeight="1"/>
    <row r="1005" spans="2:4" ht="15">
      <c r="B1005" s="196" t="s">
        <v>609</v>
      </c>
      <c r="C1005" s="196"/>
      <c r="D1005" s="196"/>
    </row>
    <row r="1006" spans="2:4" ht="15">
      <c r="B1006" s="197" t="s">
        <v>704</v>
      </c>
      <c r="C1006" s="197"/>
      <c r="D1006" s="1"/>
    </row>
    <row r="1007" spans="2:4" ht="18.75">
      <c r="B1007" s="198" t="s">
        <v>58</v>
      </c>
      <c r="C1007" s="198"/>
      <c r="D1007" s="198"/>
    </row>
    <row r="1008" spans="2:4" ht="15.75">
      <c r="B1008" s="199" t="s">
        <v>612</v>
      </c>
      <c r="C1008" s="199"/>
      <c r="D1008" s="199"/>
    </row>
    <row r="1009" spans="2:4" ht="14.25">
      <c r="B1009" s="6"/>
      <c r="C1009" s="7"/>
      <c r="D1009" s="5"/>
    </row>
    <row r="1010" spans="1:4" ht="15">
      <c r="A1010" s="8"/>
      <c r="B1010" s="9" t="s">
        <v>613</v>
      </c>
      <c r="C1010" s="10">
        <v>515.5</v>
      </c>
      <c r="D1010" s="5"/>
    </row>
    <row r="1011" spans="1:4" ht="12.75">
      <c r="A1011" s="8"/>
      <c r="B1011" s="94" t="s">
        <v>59</v>
      </c>
      <c r="C1011" s="12">
        <v>4.28</v>
      </c>
      <c r="D1011" s="13"/>
    </row>
    <row r="1012" spans="1:4" ht="12.75">
      <c r="A1012" s="8"/>
      <c r="B1012" s="139" t="s">
        <v>60</v>
      </c>
      <c r="C1012" s="12">
        <v>7.34</v>
      </c>
      <c r="D1012" s="13"/>
    </row>
    <row r="1013" spans="1:4" ht="36.75">
      <c r="A1013" s="8"/>
      <c r="B1013" s="140" t="s">
        <v>16</v>
      </c>
      <c r="C1013" s="16">
        <v>39100.88</v>
      </c>
      <c r="D1013" s="13"/>
    </row>
    <row r="1014" spans="1:4" ht="18.75">
      <c r="A1014" s="17">
        <v>1</v>
      </c>
      <c r="B1014" s="18" t="s">
        <v>617</v>
      </c>
      <c r="C1014" s="16">
        <f>C1015+C1016</f>
        <v>94099.24</v>
      </c>
      <c r="D1014" s="5"/>
    </row>
    <row r="1015" spans="1:4" ht="15">
      <c r="A1015" s="17" t="s">
        <v>706</v>
      </c>
      <c r="B1015" s="19" t="s">
        <v>707</v>
      </c>
      <c r="C1015" s="20">
        <f>26441.64+45345.87</f>
        <v>71787.51000000001</v>
      </c>
      <c r="D1015" s="5"/>
    </row>
    <row r="1016" spans="1:4" ht="15">
      <c r="A1016" s="17" t="s">
        <v>708</v>
      </c>
      <c r="B1016" s="19" t="s">
        <v>709</v>
      </c>
      <c r="C1016" s="20">
        <f>7883.2+14428.53</f>
        <v>22311.73</v>
      </c>
      <c r="D1016" s="5"/>
    </row>
    <row r="1017" spans="1:4" ht="18">
      <c r="A1017" s="17">
        <v>2</v>
      </c>
      <c r="B1017" s="18" t="s">
        <v>620</v>
      </c>
      <c r="C1017" s="21">
        <f>C1018+C1019</f>
        <v>112000.56</v>
      </c>
      <c r="D1017" s="13"/>
    </row>
    <row r="1018" spans="1:4" ht="15.75">
      <c r="A1018" s="17" t="s">
        <v>621</v>
      </c>
      <c r="B1018" s="22" t="s">
        <v>712</v>
      </c>
      <c r="C1018" s="23">
        <f>31229.25+53539.06</f>
        <v>84768.31</v>
      </c>
      <c r="D1018" s="13"/>
    </row>
    <row r="1019" spans="1:4" ht="15.75">
      <c r="A1019" s="17" t="s">
        <v>623</v>
      </c>
      <c r="B1019" s="22" t="s">
        <v>619</v>
      </c>
      <c r="C1019" s="23">
        <f>9665.6+17566.65</f>
        <v>27232.25</v>
      </c>
      <c r="D1019" s="5"/>
    </row>
    <row r="1020" spans="1:4" ht="36">
      <c r="A1020" s="17">
        <v>5</v>
      </c>
      <c r="B1020" s="24" t="s">
        <v>625</v>
      </c>
      <c r="C1020" s="85">
        <f>C1021+C1023</f>
        <v>67518.8365</v>
      </c>
      <c r="D1020" s="13"/>
    </row>
    <row r="1021" spans="1:4" ht="18.75">
      <c r="A1021" s="86" t="s">
        <v>627</v>
      </c>
      <c r="B1021" s="87" t="s">
        <v>626</v>
      </c>
      <c r="C1021" s="27">
        <f>C1022</f>
        <v>22900.43</v>
      </c>
      <c r="D1021" s="13"/>
    </row>
    <row r="1022" spans="1:4" ht="15.75">
      <c r="A1022" s="17"/>
      <c r="B1022" s="87" t="s">
        <v>713</v>
      </c>
      <c r="C1022" s="88">
        <f>389*58.87</f>
        <v>22900.43</v>
      </c>
      <c r="D1022" s="13"/>
    </row>
    <row r="1023" spans="1:4" ht="18.75">
      <c r="A1023" s="17" t="s">
        <v>629</v>
      </c>
      <c r="B1023" s="87" t="s">
        <v>630</v>
      </c>
      <c r="C1023" s="27">
        <f>C1024+C1025+C1026+C1027+C1028+C1029+C1030</f>
        <v>44618.406500000005</v>
      </c>
      <c r="D1023" s="13"/>
    </row>
    <row r="1024" spans="1:4" ht="25.5">
      <c r="A1024" s="30" t="s">
        <v>631</v>
      </c>
      <c r="B1024" s="31" t="s">
        <v>632</v>
      </c>
      <c r="C1024" s="148">
        <v>13358</v>
      </c>
      <c r="D1024" s="5"/>
    </row>
    <row r="1025" spans="1:4" ht="12.75">
      <c r="A1025" s="17" t="s">
        <v>633</v>
      </c>
      <c r="B1025" s="33" t="s">
        <v>17</v>
      </c>
      <c r="C1025" s="34">
        <v>36.53</v>
      </c>
      <c r="D1025" s="5"/>
    </row>
    <row r="1026" spans="1:4" ht="12.75">
      <c r="A1026" s="17" t="s">
        <v>637</v>
      </c>
      <c r="B1026" s="35" t="s">
        <v>18</v>
      </c>
      <c r="C1026" s="34">
        <v>421.29</v>
      </c>
      <c r="D1026" s="5"/>
    </row>
    <row r="1027" spans="1:4" ht="12.75">
      <c r="A1027" s="30" t="s">
        <v>639</v>
      </c>
      <c r="B1027" s="33" t="s">
        <v>61</v>
      </c>
      <c r="C1027" s="34">
        <f>2.5*230*12</f>
        <v>6900</v>
      </c>
      <c r="D1027" s="5"/>
    </row>
    <row r="1028" spans="1:4" ht="12.75">
      <c r="A1028" s="30" t="s">
        <v>641</v>
      </c>
      <c r="B1028" s="105" t="s">
        <v>62</v>
      </c>
      <c r="C1028" s="149">
        <v>157.49</v>
      </c>
      <c r="D1028" s="5"/>
    </row>
    <row r="1029" spans="1:4" ht="12.75">
      <c r="A1029" s="30" t="s">
        <v>647</v>
      </c>
      <c r="B1029" s="33" t="s">
        <v>23</v>
      </c>
      <c r="C1029" s="34">
        <f>C1015*0.15</f>
        <v>10768.1265</v>
      </c>
      <c r="D1029" s="5"/>
    </row>
    <row r="1030" spans="1:4" ht="12.75">
      <c r="A1030" s="17" t="s">
        <v>717</v>
      </c>
      <c r="B1030" s="33" t="s">
        <v>24</v>
      </c>
      <c r="C1030" s="34">
        <v>12976.97</v>
      </c>
      <c r="D1030" s="13"/>
    </row>
    <row r="1031" spans="1:4" ht="30">
      <c r="A1031" s="8"/>
      <c r="B1031" s="45" t="s">
        <v>25</v>
      </c>
      <c r="C1031" s="46">
        <f>C1017-C1020</f>
        <v>44481.72349999999</v>
      </c>
      <c r="D1031" s="49"/>
    </row>
    <row r="1032" spans="1:4" ht="15.75">
      <c r="A1032" s="8"/>
      <c r="B1032" s="45" t="s">
        <v>26</v>
      </c>
      <c r="C1032" s="46">
        <v>57031.05</v>
      </c>
      <c r="D1032" s="5"/>
    </row>
    <row r="1033" spans="1:4" ht="15.75">
      <c r="A1033" s="8"/>
      <c r="B1033" s="45" t="s">
        <v>652</v>
      </c>
      <c r="C1033" s="46">
        <f>C1031+C1032</f>
        <v>101512.7735</v>
      </c>
      <c r="D1033" s="5"/>
    </row>
    <row r="1034" spans="1:4" ht="15.75">
      <c r="A1034" s="8"/>
      <c r="B1034" s="45"/>
      <c r="C1034" s="46"/>
      <c r="D1034" s="5"/>
    </row>
    <row r="1035" spans="1:4" ht="31.5">
      <c r="A1035" s="8"/>
      <c r="B1035" s="150" t="s">
        <v>27</v>
      </c>
      <c r="C1035" s="46">
        <f>C1017-(C1013+C1014)</f>
        <v>-21199.559999999998</v>
      </c>
      <c r="D1035" s="13"/>
    </row>
    <row r="1036" spans="1:4" ht="15.75">
      <c r="A1036" s="8"/>
      <c r="B1036" s="45" t="s">
        <v>654</v>
      </c>
      <c r="C1036" s="46">
        <v>-15654.39</v>
      </c>
      <c r="D1036" s="5"/>
    </row>
    <row r="1037" spans="1:4" ht="15.75">
      <c r="A1037" s="8"/>
      <c r="B1037" s="45" t="s">
        <v>726</v>
      </c>
      <c r="C1037" s="46">
        <v>-5545.17</v>
      </c>
      <c r="D1037" s="5"/>
    </row>
    <row r="1038" spans="1:3" ht="15.75">
      <c r="A1038" s="8"/>
      <c r="B1038" s="98"/>
      <c r="C1038" s="23"/>
    </row>
    <row r="1040" ht="12.75">
      <c r="B1040" t="s">
        <v>755</v>
      </c>
    </row>
    <row r="1041" ht="12.75">
      <c r="B1041" t="s">
        <v>63</v>
      </c>
    </row>
    <row r="1042" spans="2:3" ht="12.75">
      <c r="B1042" t="s">
        <v>64</v>
      </c>
      <c r="C1042" s="112">
        <f>389*58.87</f>
        <v>22900.43</v>
      </c>
    </row>
    <row r="1043" spans="2:3" ht="12.75">
      <c r="B1043" t="s">
        <v>65</v>
      </c>
      <c r="C1043" s="113">
        <f>379*58.87</f>
        <v>22311.73</v>
      </c>
    </row>
    <row r="1044" spans="2:3" ht="15">
      <c r="B1044" s="114" t="s">
        <v>66</v>
      </c>
      <c r="C1044" s="115">
        <f>C1042-C1043</f>
        <v>588.7000000000007</v>
      </c>
    </row>
    <row r="1045" ht="54.75" customHeight="1"/>
    <row r="1046" spans="2:4" ht="15">
      <c r="B1046" s="196" t="s">
        <v>609</v>
      </c>
      <c r="C1046" s="196"/>
      <c r="D1046" s="196"/>
    </row>
    <row r="1047" spans="2:4" ht="15">
      <c r="B1047" s="197" t="s">
        <v>610</v>
      </c>
      <c r="C1047" s="197"/>
      <c r="D1047" s="1"/>
    </row>
    <row r="1048" spans="2:4" ht="18.75">
      <c r="B1048" s="198" t="s">
        <v>67</v>
      </c>
      <c r="C1048" s="198"/>
      <c r="D1048" s="198"/>
    </row>
    <row r="1049" spans="2:4" ht="15.75">
      <c r="B1049" s="199" t="s">
        <v>612</v>
      </c>
      <c r="C1049" s="199"/>
      <c r="D1049" s="199"/>
    </row>
    <row r="1050" spans="2:4" ht="12.75">
      <c r="B1050" s="3"/>
      <c r="C1050" s="4"/>
      <c r="D1050" s="5"/>
    </row>
    <row r="1051" spans="2:4" ht="14.25">
      <c r="B1051" s="6"/>
      <c r="C1051" s="7"/>
      <c r="D1051" s="5"/>
    </row>
    <row r="1052" spans="1:4" ht="15.75">
      <c r="A1052" s="8"/>
      <c r="B1052" s="51" t="s">
        <v>613</v>
      </c>
      <c r="C1052" s="99">
        <v>327.37</v>
      </c>
      <c r="D1052" s="5"/>
    </row>
    <row r="1053" spans="1:4" ht="15">
      <c r="A1053" s="8"/>
      <c r="B1053" s="53" t="s">
        <v>667</v>
      </c>
      <c r="C1053" s="54">
        <v>3.2</v>
      </c>
      <c r="D1053" s="13"/>
    </row>
    <row r="1054" spans="1:4" ht="15">
      <c r="A1054" s="8"/>
      <c r="B1054" s="55" t="s">
        <v>615</v>
      </c>
      <c r="C1054" s="56">
        <v>5.49</v>
      </c>
      <c r="D1054" s="13"/>
    </row>
    <row r="1055" spans="1:4" ht="18.75">
      <c r="A1055" s="8"/>
      <c r="B1055" s="15" t="s">
        <v>616</v>
      </c>
      <c r="C1055" s="57">
        <f>3947.67+6762.27</f>
        <v>10709.94</v>
      </c>
      <c r="D1055" s="13"/>
    </row>
    <row r="1056" spans="1:4" ht="18">
      <c r="A1056" s="17">
        <v>1</v>
      </c>
      <c r="B1056" s="18" t="s">
        <v>668</v>
      </c>
      <c r="C1056" s="21">
        <f>12547.9+21527.61</f>
        <v>34075.51</v>
      </c>
      <c r="D1056" s="5"/>
    </row>
    <row r="1057" spans="1:4" ht="18">
      <c r="A1057" s="17">
        <v>2</v>
      </c>
      <c r="B1057" s="58" t="s">
        <v>669</v>
      </c>
      <c r="C1057" s="59">
        <f>(C1055+C1056)-C1059</f>
        <v>30596.290000000005</v>
      </c>
      <c r="D1057" s="5"/>
    </row>
    <row r="1058" spans="1:4" ht="15">
      <c r="A1058" s="17">
        <v>3</v>
      </c>
      <c r="B1058" s="19" t="s">
        <v>670</v>
      </c>
      <c r="C1058" s="20"/>
      <c r="D1058" s="5"/>
    </row>
    <row r="1059" spans="1:4" ht="18.75">
      <c r="A1059" s="17"/>
      <c r="B1059" s="60" t="s">
        <v>671</v>
      </c>
      <c r="C1059" s="16">
        <f>5227.26+8961.9</f>
        <v>14189.16</v>
      </c>
      <c r="D1059" s="5"/>
    </row>
    <row r="1060" spans="1:4" ht="15">
      <c r="A1060" s="61"/>
      <c r="B1060" s="62"/>
      <c r="C1060" s="63"/>
      <c r="D1060" s="5"/>
    </row>
    <row r="1061" spans="1:4" ht="15">
      <c r="A1061" s="61"/>
      <c r="B1061" s="62"/>
      <c r="C1061" s="63"/>
      <c r="D1061" s="5"/>
    </row>
    <row r="1062" spans="1:4" ht="31.5">
      <c r="A1062" s="17">
        <v>4</v>
      </c>
      <c r="B1062" s="64" t="s">
        <v>625</v>
      </c>
      <c r="C1062" s="27">
        <f>C1063+C1064+C1065+C1066+C1067+C1068+C1069+C1070</f>
        <v>51916.4565</v>
      </c>
      <c r="D1062" s="5"/>
    </row>
    <row r="1063" spans="1:4" ht="26.25">
      <c r="A1063" s="30" t="s">
        <v>672</v>
      </c>
      <c r="B1063" s="31" t="s">
        <v>632</v>
      </c>
      <c r="C1063" s="66">
        <v>1895.35</v>
      </c>
      <c r="D1063" s="5"/>
    </row>
    <row r="1064" spans="1:4" ht="15.75">
      <c r="A1064" s="17" t="s">
        <v>697</v>
      </c>
      <c r="B1064" s="83" t="s">
        <v>38</v>
      </c>
      <c r="C1064" s="66">
        <v>719.82</v>
      </c>
      <c r="D1064" s="5"/>
    </row>
    <row r="1065" spans="1:4" ht="15.75">
      <c r="A1065" s="17"/>
      <c r="B1065" s="146" t="s">
        <v>56</v>
      </c>
      <c r="C1065" s="147">
        <v>472.47</v>
      </c>
      <c r="D1065" s="5"/>
    </row>
    <row r="1066" spans="1:4" ht="15.75">
      <c r="A1066" s="17" t="s">
        <v>673</v>
      </c>
      <c r="B1066" s="79" t="s">
        <v>699</v>
      </c>
      <c r="C1066" s="23">
        <v>27.47</v>
      </c>
      <c r="D1066" s="5"/>
    </row>
    <row r="1067" spans="1:4" ht="15.75">
      <c r="A1067" s="17" t="s">
        <v>31</v>
      </c>
      <c r="B1067" s="81" t="s">
        <v>68</v>
      </c>
      <c r="C1067" s="69">
        <f>1.8*230*12</f>
        <v>4968</v>
      </c>
      <c r="D1067" s="5"/>
    </row>
    <row r="1068" spans="1:4" ht="30">
      <c r="A1068" s="17"/>
      <c r="B1068" s="80" t="s">
        <v>69</v>
      </c>
      <c r="C1068" s="23">
        <v>11650</v>
      </c>
      <c r="D1068" s="5"/>
    </row>
    <row r="1069" spans="1:4" ht="15.75">
      <c r="A1069" s="8" t="s">
        <v>33</v>
      </c>
      <c r="B1069" s="82" t="s">
        <v>703</v>
      </c>
      <c r="C1069" s="71">
        <f>C1056*0.15</f>
        <v>5111.3265</v>
      </c>
      <c r="D1069" s="5"/>
    </row>
    <row r="1070" spans="1:4" ht="15.75">
      <c r="A1070" s="8" t="s">
        <v>34</v>
      </c>
      <c r="B1070" s="79" t="s">
        <v>35</v>
      </c>
      <c r="C1070" s="23">
        <v>27072.02</v>
      </c>
      <c r="D1070" s="5"/>
    </row>
    <row r="1071" spans="1:4" ht="12.75">
      <c r="A1071" s="8"/>
      <c r="B1071" s="37"/>
      <c r="C1071" s="41"/>
      <c r="D1071" s="5"/>
    </row>
    <row r="1072" spans="1:3" ht="18">
      <c r="A1072" s="8"/>
      <c r="B1072" s="73" t="s">
        <v>683</v>
      </c>
      <c r="C1072" s="59">
        <v>28944.2</v>
      </c>
    </row>
    <row r="1073" spans="1:4" ht="18">
      <c r="A1073" s="8"/>
      <c r="B1073" s="73" t="s">
        <v>36</v>
      </c>
      <c r="C1073" s="59">
        <f>C1057-C1062</f>
        <v>-21320.166499999996</v>
      </c>
      <c r="D1073" s="75"/>
    </row>
    <row r="1074" spans="1:3" ht="18.75">
      <c r="A1074" s="8"/>
      <c r="B1074" s="76" t="s">
        <v>652</v>
      </c>
      <c r="C1074" s="74">
        <f>SUM(C1072:C1073)</f>
        <v>7624.033500000005</v>
      </c>
    </row>
    <row r="1075" ht="51" customHeight="1"/>
    <row r="1076" spans="2:4" ht="15">
      <c r="B1076" s="196" t="s">
        <v>609</v>
      </c>
      <c r="C1076" s="196"/>
      <c r="D1076" s="196"/>
    </row>
    <row r="1077" spans="2:4" ht="15">
      <c r="B1077" s="197" t="s">
        <v>610</v>
      </c>
      <c r="C1077" s="197"/>
      <c r="D1077" s="1"/>
    </row>
    <row r="1078" spans="2:4" ht="18.75">
      <c r="B1078" s="198" t="s">
        <v>70</v>
      </c>
      <c r="C1078" s="198"/>
      <c r="D1078" s="198"/>
    </row>
    <row r="1079" spans="2:4" ht="15.75">
      <c r="B1079" s="199" t="s">
        <v>612</v>
      </c>
      <c r="C1079" s="199"/>
      <c r="D1079" s="199"/>
    </row>
    <row r="1080" spans="2:4" ht="12.75">
      <c r="B1080" s="3"/>
      <c r="C1080" s="4"/>
      <c r="D1080" s="5"/>
    </row>
    <row r="1081" spans="2:4" ht="14.25">
      <c r="B1081" s="6"/>
      <c r="C1081" s="7"/>
      <c r="D1081" s="5"/>
    </row>
    <row r="1082" spans="1:4" ht="15.75">
      <c r="A1082" s="8"/>
      <c r="B1082" s="51" t="s">
        <v>613</v>
      </c>
      <c r="C1082" s="99">
        <v>334.17</v>
      </c>
      <c r="D1082" s="5"/>
    </row>
    <row r="1083" spans="1:4" ht="15">
      <c r="A1083" s="8"/>
      <c r="B1083" s="53" t="s">
        <v>667</v>
      </c>
      <c r="C1083" s="54">
        <v>3.2</v>
      </c>
      <c r="D1083" s="13"/>
    </row>
    <row r="1084" spans="1:4" ht="15">
      <c r="A1084" s="8"/>
      <c r="B1084" s="55" t="s">
        <v>615</v>
      </c>
      <c r="C1084" s="56">
        <v>5.49</v>
      </c>
      <c r="D1084" s="13"/>
    </row>
    <row r="1085" spans="1:4" ht="18.75">
      <c r="A1085" s="8"/>
      <c r="B1085" s="15" t="s">
        <v>616</v>
      </c>
      <c r="C1085" s="57">
        <f>106.94+183.21</f>
        <v>290.15</v>
      </c>
      <c r="D1085" s="13"/>
    </row>
    <row r="1086" spans="1:4" ht="18">
      <c r="A1086" s="17">
        <v>1</v>
      </c>
      <c r="B1086" s="18" t="s">
        <v>668</v>
      </c>
      <c r="C1086" s="21">
        <f>12835.92+22021.62</f>
        <v>34857.54</v>
      </c>
      <c r="D1086" s="5"/>
    </row>
    <row r="1087" spans="1:4" ht="18">
      <c r="A1087" s="17">
        <v>2</v>
      </c>
      <c r="B1087" s="58" t="s">
        <v>669</v>
      </c>
      <c r="C1087" s="59">
        <f>(C1085+C1086)-C1089</f>
        <v>29874.79</v>
      </c>
      <c r="D1087" s="5"/>
    </row>
    <row r="1088" spans="1:4" ht="15">
      <c r="A1088" s="17">
        <v>3</v>
      </c>
      <c r="B1088" s="19" t="s">
        <v>670</v>
      </c>
      <c r="C1088" s="20"/>
      <c r="D1088" s="5"/>
    </row>
    <row r="1089" spans="1:4" ht="18.75">
      <c r="A1089" s="17"/>
      <c r="B1089" s="60" t="s">
        <v>671</v>
      </c>
      <c r="C1089" s="16">
        <f>1941.7+3331.2</f>
        <v>5272.9</v>
      </c>
      <c r="D1089" s="5"/>
    </row>
    <row r="1090" spans="1:4" ht="15">
      <c r="A1090" s="61"/>
      <c r="B1090" s="62"/>
      <c r="C1090" s="63"/>
      <c r="D1090" s="5"/>
    </row>
    <row r="1091" spans="1:4" ht="15">
      <c r="A1091" s="61"/>
      <c r="B1091" s="62"/>
      <c r="C1091" s="63"/>
      <c r="D1091" s="5"/>
    </row>
    <row r="1092" spans="1:4" ht="31.5">
      <c r="A1092" s="17">
        <v>4</v>
      </c>
      <c r="B1092" s="64" t="s">
        <v>625</v>
      </c>
      <c r="C1092" s="27">
        <f>C1093+C1094+C1095+C1096+C1097+C1098+C1099+C1100</f>
        <v>23320.461000000003</v>
      </c>
      <c r="D1092" s="5"/>
    </row>
    <row r="1093" spans="1:4" ht="26.25">
      <c r="A1093" s="30" t="s">
        <v>672</v>
      </c>
      <c r="B1093" s="31" t="s">
        <v>632</v>
      </c>
      <c r="C1093" s="66">
        <v>1299.76</v>
      </c>
      <c r="D1093" s="5"/>
    </row>
    <row r="1094" spans="1:4" ht="15.75">
      <c r="A1094" s="17" t="s">
        <v>697</v>
      </c>
      <c r="B1094" s="79" t="s">
        <v>71</v>
      </c>
      <c r="C1094" s="23">
        <f>469*2.79</f>
        <v>1308.51</v>
      </c>
      <c r="D1094" s="5"/>
    </row>
    <row r="1095" spans="1:4" ht="15.75">
      <c r="A1095" s="17" t="s">
        <v>673</v>
      </c>
      <c r="B1095" s="79" t="s">
        <v>674</v>
      </c>
      <c r="C1095" s="23">
        <v>23.65</v>
      </c>
      <c r="D1095" s="5"/>
    </row>
    <row r="1096" spans="1:4" ht="15.75">
      <c r="A1096" s="17" t="s">
        <v>31</v>
      </c>
      <c r="B1096" s="81" t="s">
        <v>72</v>
      </c>
      <c r="C1096" s="69">
        <f>2.1*230*12</f>
        <v>5796</v>
      </c>
      <c r="D1096" s="5"/>
    </row>
    <row r="1097" spans="1:4" ht="30">
      <c r="A1097" s="17"/>
      <c r="B1097" s="151" t="s">
        <v>73</v>
      </c>
      <c r="C1097" s="152">
        <v>983.7</v>
      </c>
      <c r="D1097" s="5"/>
    </row>
    <row r="1098" spans="1:4" ht="15">
      <c r="A1098" s="17"/>
      <c r="B1098" s="146" t="s">
        <v>74</v>
      </c>
      <c r="C1098" s="153">
        <v>157.49</v>
      </c>
      <c r="D1098" s="5"/>
    </row>
    <row r="1099" spans="1:4" ht="15.75">
      <c r="A1099" s="8" t="s">
        <v>33</v>
      </c>
      <c r="B1099" s="82" t="s">
        <v>646</v>
      </c>
      <c r="C1099" s="71">
        <f>C1086*0.15</f>
        <v>5228.631</v>
      </c>
      <c r="D1099" s="5"/>
    </row>
    <row r="1100" spans="1:4" ht="15.75">
      <c r="A1100" s="8" t="s">
        <v>34</v>
      </c>
      <c r="B1100" s="79" t="s">
        <v>679</v>
      </c>
      <c r="C1100" s="23">
        <f>C1102+C1103+C1104+C1105</f>
        <v>8522.72</v>
      </c>
      <c r="D1100" s="5"/>
    </row>
    <row r="1101" spans="1:4" ht="15.75">
      <c r="A1101" s="8"/>
      <c r="B1101" s="143" t="s">
        <v>50</v>
      </c>
      <c r="C1101" s="23"/>
      <c r="D1101" s="5"/>
    </row>
    <row r="1102" spans="1:4" ht="12.75">
      <c r="A1102" s="8"/>
      <c r="B1102" s="37" t="s">
        <v>75</v>
      </c>
      <c r="C1102" s="96">
        <v>490.87</v>
      </c>
      <c r="D1102" s="5"/>
    </row>
    <row r="1103" spans="1:4" ht="24">
      <c r="A1103" s="8"/>
      <c r="B1103" s="37" t="s">
        <v>76</v>
      </c>
      <c r="C1103" s="96">
        <v>491.37</v>
      </c>
      <c r="D1103" s="5"/>
    </row>
    <row r="1104" spans="1:4" ht="24">
      <c r="A1104" s="8"/>
      <c r="B1104" s="37" t="s">
        <v>77</v>
      </c>
      <c r="C1104" s="96">
        <v>7328.09</v>
      </c>
      <c r="D1104" s="5"/>
    </row>
    <row r="1105" spans="1:4" ht="12.75">
      <c r="A1105" s="8"/>
      <c r="B1105" s="37" t="s">
        <v>78</v>
      </c>
      <c r="C1105" s="96">
        <v>212.39</v>
      </c>
      <c r="D1105" s="5"/>
    </row>
    <row r="1106" spans="1:4" ht="12.75">
      <c r="A1106" s="8"/>
      <c r="B1106" s="145"/>
      <c r="C1106" s="78"/>
      <c r="D1106" s="5"/>
    </row>
    <row r="1107" spans="1:3" ht="18">
      <c r="A1107" s="8"/>
      <c r="B1107" s="73" t="s">
        <v>683</v>
      </c>
      <c r="C1107" s="59">
        <v>24412.52</v>
      </c>
    </row>
    <row r="1108" spans="1:4" ht="18">
      <c r="A1108" s="8"/>
      <c r="B1108" s="73" t="s">
        <v>53</v>
      </c>
      <c r="C1108" s="59">
        <f>C1087-C1092</f>
        <v>6554.328999999998</v>
      </c>
      <c r="D1108" s="75"/>
    </row>
    <row r="1109" spans="1:3" ht="18.75">
      <c r="A1109" s="8"/>
      <c r="B1109" s="76" t="s">
        <v>54</v>
      </c>
      <c r="C1109" s="74">
        <f>SUM(C1107:C1108)</f>
        <v>30966.849</v>
      </c>
    </row>
    <row r="1110" ht="51" customHeight="1"/>
    <row r="1111" spans="2:4" ht="15">
      <c r="B1111" s="196" t="s">
        <v>609</v>
      </c>
      <c r="C1111" s="196"/>
      <c r="D1111" s="196"/>
    </row>
    <row r="1112" spans="2:4" ht="15">
      <c r="B1112" s="197" t="s">
        <v>610</v>
      </c>
      <c r="C1112" s="197"/>
      <c r="D1112" s="1"/>
    </row>
    <row r="1113" spans="2:4" ht="18.75">
      <c r="B1113" s="198" t="s">
        <v>79</v>
      </c>
      <c r="C1113" s="198"/>
      <c r="D1113" s="198"/>
    </row>
    <row r="1114" spans="2:4" ht="15.75">
      <c r="B1114" s="199" t="s">
        <v>612</v>
      </c>
      <c r="C1114" s="199"/>
      <c r="D1114" s="199"/>
    </row>
    <row r="1115" spans="2:4" ht="12.75">
      <c r="B1115" s="3"/>
      <c r="C1115" s="4"/>
      <c r="D1115" s="5"/>
    </row>
    <row r="1116" spans="2:4" ht="14.25">
      <c r="B1116" s="6"/>
      <c r="C1116" s="7"/>
      <c r="D1116" s="5"/>
    </row>
    <row r="1117" spans="1:4" ht="15.75">
      <c r="A1117" s="8"/>
      <c r="B1117" s="51" t="s">
        <v>613</v>
      </c>
      <c r="C1117" s="99">
        <v>338.39</v>
      </c>
      <c r="D1117" s="5"/>
    </row>
    <row r="1118" spans="1:4" ht="15">
      <c r="A1118" s="8"/>
      <c r="B1118" s="53" t="s">
        <v>667</v>
      </c>
      <c r="C1118" s="54">
        <v>3.74</v>
      </c>
      <c r="D1118" s="13"/>
    </row>
    <row r="1119" spans="1:4" ht="15">
      <c r="A1119" s="8"/>
      <c r="B1119" s="55" t="s">
        <v>615</v>
      </c>
      <c r="C1119" s="56">
        <v>6.42</v>
      </c>
      <c r="D1119" s="13"/>
    </row>
    <row r="1120" spans="1:4" ht="18.75">
      <c r="A1120" s="8"/>
      <c r="B1120" s="15" t="s">
        <v>616</v>
      </c>
      <c r="C1120" s="57">
        <f>1250.42+2095.82</f>
        <v>3346.2400000000002</v>
      </c>
      <c r="D1120" s="13"/>
    </row>
    <row r="1121" spans="1:4" ht="18">
      <c r="A1121" s="17">
        <v>1</v>
      </c>
      <c r="B1121" s="18" t="s">
        <v>668</v>
      </c>
      <c r="C1121" s="21">
        <f>15186.84+26069.76</f>
        <v>41256.6</v>
      </c>
      <c r="D1121" s="5"/>
    </row>
    <row r="1122" spans="1:4" ht="18">
      <c r="A1122" s="17">
        <v>2</v>
      </c>
      <c r="B1122" s="58" t="s">
        <v>669</v>
      </c>
      <c r="C1122" s="59">
        <f>(C1120+C1121)-C1124</f>
        <v>36937.579999999994</v>
      </c>
      <c r="D1122" s="5"/>
    </row>
    <row r="1123" spans="1:4" ht="15">
      <c r="A1123" s="17">
        <v>3</v>
      </c>
      <c r="B1123" s="19" t="s">
        <v>670</v>
      </c>
      <c r="C1123" s="20"/>
      <c r="D1123" s="5"/>
    </row>
    <row r="1124" spans="1:4" ht="18.75">
      <c r="A1124" s="17"/>
      <c r="B1124" s="60" t="s">
        <v>671</v>
      </c>
      <c r="C1124" s="16">
        <f>2822+4843.26</f>
        <v>7665.26</v>
      </c>
      <c r="D1124" s="5"/>
    </row>
    <row r="1125" spans="1:4" ht="15">
      <c r="A1125" s="61"/>
      <c r="B1125" s="62"/>
      <c r="C1125" s="63"/>
      <c r="D1125" s="5"/>
    </row>
    <row r="1126" spans="1:4" ht="31.5">
      <c r="A1126" s="17">
        <v>4</v>
      </c>
      <c r="B1126" s="64" t="s">
        <v>625</v>
      </c>
      <c r="C1126" s="27">
        <f>C1127+C1128+C1129+C1130+C1131+C1132+C1133</f>
        <v>62049.98</v>
      </c>
      <c r="D1126" s="5"/>
    </row>
    <row r="1127" spans="1:4" ht="26.25">
      <c r="A1127" s="30" t="s">
        <v>672</v>
      </c>
      <c r="B1127" s="31" t="s">
        <v>632</v>
      </c>
      <c r="C1127" s="66">
        <v>13253.88</v>
      </c>
      <c r="D1127" s="5"/>
    </row>
    <row r="1128" spans="1:4" ht="15.75">
      <c r="A1128" s="17" t="s">
        <v>697</v>
      </c>
      <c r="B1128" s="79" t="s">
        <v>47</v>
      </c>
      <c r="C1128" s="23">
        <v>1450.8</v>
      </c>
      <c r="D1128" s="5"/>
    </row>
    <row r="1129" spans="1:4" ht="15.75">
      <c r="A1129" s="17" t="s">
        <v>673</v>
      </c>
      <c r="B1129" s="79" t="s">
        <v>674</v>
      </c>
      <c r="C1129" s="23">
        <v>23.93</v>
      </c>
      <c r="D1129" s="5"/>
    </row>
    <row r="1130" spans="1:4" ht="15.75">
      <c r="A1130" s="17" t="s">
        <v>31</v>
      </c>
      <c r="B1130" s="81" t="s">
        <v>80</v>
      </c>
      <c r="C1130" s="69">
        <f>1.9*230*12</f>
        <v>5244</v>
      </c>
      <c r="D1130" s="5"/>
    </row>
    <row r="1131" spans="1:4" ht="15.75">
      <c r="A1131" s="17"/>
      <c r="B1131" s="146" t="s">
        <v>81</v>
      </c>
      <c r="C1131" s="147">
        <v>472.47</v>
      </c>
      <c r="D1131" s="5"/>
    </row>
    <row r="1132" spans="1:4" ht="15.75">
      <c r="A1132" s="8" t="s">
        <v>33</v>
      </c>
      <c r="B1132" s="82" t="s">
        <v>646</v>
      </c>
      <c r="C1132" s="71">
        <f>C1121*0.15</f>
        <v>6188.49</v>
      </c>
      <c r="D1132" s="5"/>
    </row>
    <row r="1133" spans="1:4" ht="15.75">
      <c r="A1133" s="8" t="s">
        <v>34</v>
      </c>
      <c r="B1133" s="79" t="s">
        <v>679</v>
      </c>
      <c r="C1133" s="23">
        <v>35416.41</v>
      </c>
      <c r="D1133" s="5"/>
    </row>
    <row r="1134" spans="1:4" ht="12.75">
      <c r="A1134" s="8"/>
      <c r="B1134" s="145"/>
      <c r="C1134" s="78"/>
      <c r="D1134" s="5"/>
    </row>
    <row r="1135" spans="1:3" ht="18">
      <c r="A1135" s="8"/>
      <c r="B1135" s="73" t="s">
        <v>683</v>
      </c>
      <c r="C1135" s="59">
        <v>24169.99</v>
      </c>
    </row>
    <row r="1136" spans="1:4" ht="18">
      <c r="A1136" s="8"/>
      <c r="B1136" s="73" t="s">
        <v>53</v>
      </c>
      <c r="C1136" s="59">
        <f>C1122-C1126</f>
        <v>-25112.40000000001</v>
      </c>
      <c r="D1136" s="75"/>
    </row>
    <row r="1137" spans="1:3" ht="18.75">
      <c r="A1137" s="8"/>
      <c r="B1137" s="76" t="s">
        <v>54</v>
      </c>
      <c r="C1137" s="74">
        <f>SUM(C1135:C1136)</f>
        <v>-942.4100000000071</v>
      </c>
    </row>
    <row r="1138" ht="52.5" customHeight="1"/>
    <row r="1140" spans="2:4" ht="15">
      <c r="B1140" s="196" t="s">
        <v>609</v>
      </c>
      <c r="C1140" s="196"/>
      <c r="D1140" s="196"/>
    </row>
    <row r="1141" spans="2:4" ht="15">
      <c r="B1141" s="197" t="s">
        <v>610</v>
      </c>
      <c r="C1141" s="197"/>
      <c r="D1141" s="1"/>
    </row>
    <row r="1142" spans="2:4" ht="18.75">
      <c r="B1142" s="198" t="s">
        <v>82</v>
      </c>
      <c r="C1142" s="198"/>
      <c r="D1142" s="198"/>
    </row>
    <row r="1143" spans="2:4" ht="15.75">
      <c r="B1143" s="199" t="s">
        <v>612</v>
      </c>
      <c r="C1143" s="199"/>
      <c r="D1143" s="199"/>
    </row>
    <row r="1144" spans="2:4" ht="12.75">
      <c r="B1144" s="3"/>
      <c r="C1144" s="4"/>
      <c r="D1144" s="5"/>
    </row>
    <row r="1145" spans="2:4" ht="14.25">
      <c r="B1145" s="6"/>
      <c r="C1145" s="7"/>
      <c r="D1145" s="5"/>
    </row>
    <row r="1146" spans="1:4" ht="15.75">
      <c r="A1146" s="8"/>
      <c r="B1146" s="51" t="s">
        <v>613</v>
      </c>
      <c r="C1146" s="99">
        <v>335.19</v>
      </c>
      <c r="D1146" s="5"/>
    </row>
    <row r="1147" spans="1:4" ht="15">
      <c r="A1147" s="8"/>
      <c r="B1147" s="53" t="s">
        <v>667</v>
      </c>
      <c r="C1147" s="54">
        <v>3.2</v>
      </c>
      <c r="D1147" s="13"/>
    </row>
    <row r="1148" spans="1:4" ht="15">
      <c r="A1148" s="8"/>
      <c r="B1148" s="55" t="s">
        <v>615</v>
      </c>
      <c r="C1148" s="56">
        <v>5.49</v>
      </c>
      <c r="D1148" s="13"/>
    </row>
    <row r="1149" spans="1:4" ht="18.75">
      <c r="A1149" s="8"/>
      <c r="B1149" s="15" t="s">
        <v>616</v>
      </c>
      <c r="C1149" s="57">
        <f>2621.23+4489.55</f>
        <v>7110.780000000001</v>
      </c>
      <c r="D1149" s="13"/>
    </row>
    <row r="1150" spans="1:4" ht="18">
      <c r="A1150" s="17">
        <v>1</v>
      </c>
      <c r="B1150" s="18" t="s">
        <v>668</v>
      </c>
      <c r="C1150" s="21">
        <f>12871.32+22082.28</f>
        <v>34953.6</v>
      </c>
      <c r="D1150" s="5"/>
    </row>
    <row r="1151" spans="1:4" ht="18">
      <c r="A1151" s="17">
        <v>2</v>
      </c>
      <c r="B1151" s="58" t="s">
        <v>669</v>
      </c>
      <c r="C1151" s="59">
        <f>(C1149+C1150)-C1153</f>
        <v>36321.759999999995</v>
      </c>
      <c r="D1151" s="5"/>
    </row>
    <row r="1152" spans="1:4" ht="15">
      <c r="A1152" s="17">
        <v>3</v>
      </c>
      <c r="B1152" s="19" t="s">
        <v>670</v>
      </c>
      <c r="C1152" s="20"/>
      <c r="D1152" s="5"/>
    </row>
    <row r="1153" spans="1:4" ht="18.75">
      <c r="A1153" s="17"/>
      <c r="B1153" s="60" t="s">
        <v>671</v>
      </c>
      <c r="C1153" s="16">
        <f>2115.09+3627.53</f>
        <v>5742.620000000001</v>
      </c>
      <c r="D1153" s="5"/>
    </row>
    <row r="1154" spans="1:4" ht="15">
      <c r="A1154" s="61"/>
      <c r="B1154" s="62"/>
      <c r="C1154" s="63"/>
      <c r="D1154" s="5"/>
    </row>
    <row r="1155" spans="1:4" ht="15">
      <c r="A1155" s="61"/>
      <c r="B1155" s="62"/>
      <c r="C1155" s="63"/>
      <c r="D1155" s="5"/>
    </row>
    <row r="1156" spans="1:4" ht="31.5">
      <c r="A1156" s="17">
        <v>4</v>
      </c>
      <c r="B1156" s="64" t="s">
        <v>625</v>
      </c>
      <c r="C1156" s="27">
        <f>C1157+C1158+C1159+C1160+C1161+C1162+C1163+C1164</f>
        <v>107998.12000000001</v>
      </c>
      <c r="D1156" s="5"/>
    </row>
    <row r="1157" spans="1:4" ht="26.25">
      <c r="A1157" s="30" t="s">
        <v>672</v>
      </c>
      <c r="B1157" s="31" t="s">
        <v>632</v>
      </c>
      <c r="C1157" s="66">
        <v>2103.73</v>
      </c>
      <c r="D1157" s="5"/>
    </row>
    <row r="1158" spans="1:4" ht="15.75">
      <c r="A1158" s="17" t="s">
        <v>697</v>
      </c>
      <c r="B1158" s="79" t="s">
        <v>83</v>
      </c>
      <c r="C1158" s="23">
        <f>97*2.79</f>
        <v>270.63</v>
      </c>
      <c r="D1158" s="5"/>
    </row>
    <row r="1159" spans="1:4" ht="15.75">
      <c r="A1159" s="17"/>
      <c r="B1159" s="154" t="s">
        <v>84</v>
      </c>
      <c r="C1159" s="23">
        <v>944.94</v>
      </c>
      <c r="D1159" s="5"/>
    </row>
    <row r="1160" spans="1:4" ht="15.75">
      <c r="A1160" s="17" t="s">
        <v>673</v>
      </c>
      <c r="B1160" s="79" t="s">
        <v>85</v>
      </c>
      <c r="C1160" s="23">
        <v>23.79</v>
      </c>
      <c r="D1160" s="5"/>
    </row>
    <row r="1161" spans="1:4" ht="15.75">
      <c r="A1161" s="17" t="s">
        <v>31</v>
      </c>
      <c r="B1161" s="81" t="s">
        <v>86</v>
      </c>
      <c r="C1161" s="69">
        <f>2.2*230*12</f>
        <v>6072.000000000001</v>
      </c>
      <c r="D1161" s="5"/>
    </row>
    <row r="1162" spans="1:4" ht="15.75">
      <c r="A1162" s="17"/>
      <c r="B1162" s="83" t="s">
        <v>87</v>
      </c>
      <c r="C1162" s="23">
        <v>1600</v>
      </c>
      <c r="D1162" s="5"/>
    </row>
    <row r="1163" spans="1:4" ht="15.75">
      <c r="A1163" s="8" t="s">
        <v>33</v>
      </c>
      <c r="B1163" s="82" t="s">
        <v>23</v>
      </c>
      <c r="C1163" s="71">
        <f>C1150*0.15</f>
        <v>5243.04</v>
      </c>
      <c r="D1163" s="5"/>
    </row>
    <row r="1164" spans="1:4" ht="15.75">
      <c r="A1164" s="8" t="s">
        <v>34</v>
      </c>
      <c r="B1164" s="79" t="s">
        <v>88</v>
      </c>
      <c r="C1164" s="23">
        <v>91739.99</v>
      </c>
      <c r="D1164" s="5"/>
    </row>
    <row r="1165" spans="1:4" ht="15.75">
      <c r="A1165" s="8"/>
      <c r="B1165" s="79"/>
      <c r="C1165" s="23"/>
      <c r="D1165" s="5"/>
    </row>
    <row r="1166" spans="1:3" ht="18">
      <c r="A1166" s="8"/>
      <c r="B1166" s="73" t="s">
        <v>683</v>
      </c>
      <c r="C1166" s="59">
        <v>3088.76</v>
      </c>
    </row>
    <row r="1167" spans="1:4" ht="18">
      <c r="A1167" s="8"/>
      <c r="B1167" s="73" t="s">
        <v>53</v>
      </c>
      <c r="C1167" s="59">
        <f>C1151-C1156</f>
        <v>-71676.36000000002</v>
      </c>
      <c r="D1167" s="75"/>
    </row>
    <row r="1168" spans="1:3" ht="18.75">
      <c r="A1168" s="8"/>
      <c r="B1168" s="76" t="s">
        <v>54</v>
      </c>
      <c r="C1168" s="74">
        <f>SUM(C1166:C1167)</f>
        <v>-68587.60000000002</v>
      </c>
    </row>
    <row r="1169" ht="51.75" customHeight="1"/>
    <row r="1170" spans="2:4" ht="15">
      <c r="B1170" s="196" t="s">
        <v>609</v>
      </c>
      <c r="C1170" s="196"/>
      <c r="D1170" s="196"/>
    </row>
    <row r="1171" spans="2:4" ht="15">
      <c r="B1171" s="197" t="s">
        <v>610</v>
      </c>
      <c r="C1171" s="197"/>
      <c r="D1171" s="1"/>
    </row>
    <row r="1172" spans="2:4" ht="18.75">
      <c r="B1172" s="198" t="s">
        <v>89</v>
      </c>
      <c r="C1172" s="198"/>
      <c r="D1172" s="198"/>
    </row>
    <row r="1173" spans="2:4" ht="15.75">
      <c r="B1173" s="199" t="s">
        <v>612</v>
      </c>
      <c r="C1173" s="199"/>
      <c r="D1173" s="199"/>
    </row>
    <row r="1174" spans="2:4" ht="12.75">
      <c r="B1174" s="3"/>
      <c r="C1174" s="4"/>
      <c r="D1174" s="5"/>
    </row>
    <row r="1175" spans="2:4" ht="14.25">
      <c r="B1175" s="6"/>
      <c r="C1175" s="7"/>
      <c r="D1175" s="5"/>
    </row>
    <row r="1176" spans="1:4" ht="15.75">
      <c r="A1176" s="8"/>
      <c r="B1176" s="51" t="s">
        <v>613</v>
      </c>
      <c r="C1176" s="99">
        <v>334.52</v>
      </c>
      <c r="D1176" s="5"/>
    </row>
    <row r="1177" spans="1:4" ht="15">
      <c r="A1177" s="8"/>
      <c r="B1177" s="53" t="s">
        <v>667</v>
      </c>
      <c r="C1177" s="54">
        <v>3.2</v>
      </c>
      <c r="D1177" s="13"/>
    </row>
    <row r="1178" spans="1:4" ht="15">
      <c r="A1178" s="8"/>
      <c r="B1178" s="55" t="s">
        <v>615</v>
      </c>
      <c r="C1178" s="56">
        <v>5.49</v>
      </c>
      <c r="D1178" s="13"/>
    </row>
    <row r="1179" spans="1:4" ht="18.75">
      <c r="A1179" s="8"/>
      <c r="B1179" s="15" t="s">
        <v>616</v>
      </c>
      <c r="C1179" s="57">
        <f>538.2+922.08</f>
        <v>1460.2800000000002</v>
      </c>
      <c r="D1179" s="13"/>
    </row>
    <row r="1180" spans="1:4" ht="18">
      <c r="A1180" s="17">
        <v>1</v>
      </c>
      <c r="B1180" s="18" t="s">
        <v>668</v>
      </c>
      <c r="C1180" s="21">
        <f>12845.64+22038.24</f>
        <v>34883.880000000005</v>
      </c>
      <c r="D1180" s="5"/>
    </row>
    <row r="1181" spans="1:4" ht="18">
      <c r="A1181" s="17">
        <v>2</v>
      </c>
      <c r="B1181" s="58" t="s">
        <v>669</v>
      </c>
      <c r="C1181" s="59">
        <f>(C1179+C1180)-C1183</f>
        <v>31293.170000000006</v>
      </c>
      <c r="D1181" s="5"/>
    </row>
    <row r="1182" spans="1:4" ht="15">
      <c r="A1182" s="17">
        <v>3</v>
      </c>
      <c r="B1182" s="19" t="s">
        <v>670</v>
      </c>
      <c r="C1182" s="20"/>
      <c r="D1182" s="5"/>
    </row>
    <row r="1183" spans="1:4" ht="18.75">
      <c r="A1183" s="17"/>
      <c r="B1183" s="60" t="s">
        <v>671</v>
      </c>
      <c r="C1183" s="16">
        <f>1860+3190.99</f>
        <v>5050.99</v>
      </c>
      <c r="D1183" s="5"/>
    </row>
    <row r="1184" spans="1:4" ht="15">
      <c r="A1184" s="61"/>
      <c r="B1184" s="62"/>
      <c r="C1184" s="63"/>
      <c r="D1184" s="5"/>
    </row>
    <row r="1185" spans="1:4" ht="15">
      <c r="A1185" s="61"/>
      <c r="B1185" s="62"/>
      <c r="C1185" s="63"/>
      <c r="D1185" s="5"/>
    </row>
    <row r="1186" spans="1:4" ht="31.5">
      <c r="A1186" s="17">
        <v>4</v>
      </c>
      <c r="B1186" s="64" t="s">
        <v>625</v>
      </c>
      <c r="C1186" s="27">
        <f>C1187+C1188+C1189+C1190+C1191+C1192</f>
        <v>16454.502</v>
      </c>
      <c r="D1186" s="5"/>
    </row>
    <row r="1187" spans="1:4" ht="26.25">
      <c r="A1187" s="30" t="s">
        <v>672</v>
      </c>
      <c r="B1187" s="31" t="s">
        <v>632</v>
      </c>
      <c r="C1187" s="66">
        <v>563.88</v>
      </c>
      <c r="D1187" s="5"/>
    </row>
    <row r="1188" spans="1:4" ht="15.75">
      <c r="A1188" s="17" t="s">
        <v>697</v>
      </c>
      <c r="B1188" s="83" t="s">
        <v>90</v>
      </c>
      <c r="C1188" s="23">
        <v>1600</v>
      </c>
      <c r="D1188" s="5"/>
    </row>
    <row r="1189" spans="1:4" ht="15.75">
      <c r="A1189" s="17" t="s">
        <v>673</v>
      </c>
      <c r="B1189" s="79" t="s">
        <v>91</v>
      </c>
      <c r="C1189" s="23">
        <v>23.93</v>
      </c>
      <c r="D1189" s="5"/>
    </row>
    <row r="1190" spans="1:4" ht="15.75">
      <c r="A1190" s="17" t="s">
        <v>31</v>
      </c>
      <c r="B1190" s="81" t="s">
        <v>92</v>
      </c>
      <c r="C1190" s="69">
        <f>2.3*230*12</f>
        <v>6348</v>
      </c>
      <c r="D1190" s="5"/>
    </row>
    <row r="1191" spans="1:4" ht="15.75">
      <c r="A1191" s="8" t="s">
        <v>33</v>
      </c>
      <c r="B1191" s="82" t="s">
        <v>678</v>
      </c>
      <c r="C1191" s="71">
        <f>C1180*0.15</f>
        <v>5232.582</v>
      </c>
      <c r="D1191" s="5"/>
    </row>
    <row r="1192" spans="1:4" ht="15.75">
      <c r="A1192" s="8" t="s">
        <v>34</v>
      </c>
      <c r="B1192" s="79" t="s">
        <v>404</v>
      </c>
      <c r="C1192" s="23">
        <v>2686.11</v>
      </c>
      <c r="D1192" s="5"/>
    </row>
    <row r="1193" spans="1:4" ht="12.75">
      <c r="A1193" s="8"/>
      <c r="B1193" s="129"/>
      <c r="C1193" s="123"/>
      <c r="D1193" s="5"/>
    </row>
    <row r="1194" spans="1:3" ht="18">
      <c r="A1194" s="8"/>
      <c r="B1194" s="73" t="s">
        <v>683</v>
      </c>
      <c r="C1194" s="59">
        <v>21961.43</v>
      </c>
    </row>
    <row r="1195" spans="1:4" ht="18">
      <c r="A1195" s="8"/>
      <c r="B1195" s="73" t="s">
        <v>53</v>
      </c>
      <c r="C1195" s="59">
        <f>C1181-C1186</f>
        <v>14838.668000000005</v>
      </c>
      <c r="D1195" s="75"/>
    </row>
    <row r="1196" spans="1:3" ht="18.75">
      <c r="A1196" s="8"/>
      <c r="B1196" s="76" t="s">
        <v>54</v>
      </c>
      <c r="C1196" s="59">
        <f>SUM(C1194:C1195)</f>
        <v>36800.098000000005</v>
      </c>
    </row>
    <row r="1197" ht="52.5" customHeight="1"/>
    <row r="1198" spans="2:4" ht="15">
      <c r="B1198" s="196" t="s">
        <v>609</v>
      </c>
      <c r="C1198" s="196"/>
      <c r="D1198" s="196"/>
    </row>
    <row r="1199" spans="2:4" ht="15">
      <c r="B1199" s="197" t="s">
        <v>704</v>
      </c>
      <c r="C1199" s="197"/>
      <c r="D1199" s="1"/>
    </row>
    <row r="1200" spans="2:4" ht="18.75">
      <c r="B1200" s="198" t="s">
        <v>405</v>
      </c>
      <c r="C1200" s="198"/>
      <c r="D1200" s="198"/>
    </row>
    <row r="1201" spans="2:4" ht="15.75">
      <c r="B1201" s="199" t="s">
        <v>612</v>
      </c>
      <c r="C1201" s="199"/>
      <c r="D1201" s="199"/>
    </row>
    <row r="1202" spans="2:4" ht="14.25">
      <c r="B1202" s="6"/>
      <c r="C1202" s="7"/>
      <c r="D1202" s="5"/>
    </row>
    <row r="1203" spans="1:4" ht="15">
      <c r="A1203" s="8"/>
      <c r="B1203" s="9" t="s">
        <v>613</v>
      </c>
      <c r="C1203" s="10">
        <v>121.7</v>
      </c>
      <c r="D1203" s="5"/>
    </row>
    <row r="1204" spans="1:4" ht="12.75">
      <c r="A1204" s="8"/>
      <c r="B1204" s="94" t="s">
        <v>59</v>
      </c>
      <c r="C1204" s="12">
        <v>3.74</v>
      </c>
      <c r="D1204" s="13"/>
    </row>
    <row r="1205" spans="1:4" ht="12.75">
      <c r="A1205" s="8"/>
      <c r="B1205" s="139" t="s">
        <v>60</v>
      </c>
      <c r="C1205" s="12">
        <v>6.42</v>
      </c>
      <c r="D1205" s="13"/>
    </row>
    <row r="1206" spans="1:4" ht="36.75">
      <c r="A1206" s="8"/>
      <c r="B1206" s="140" t="s">
        <v>16</v>
      </c>
      <c r="C1206" s="16">
        <v>0</v>
      </c>
      <c r="D1206" s="13"/>
    </row>
    <row r="1207" spans="1:4" ht="18.75">
      <c r="A1207" s="17">
        <v>1</v>
      </c>
      <c r="B1207" s="18" t="s">
        <v>617</v>
      </c>
      <c r="C1207" s="16">
        <f>C1208+C1209</f>
        <v>21372.33</v>
      </c>
      <c r="D1207" s="5"/>
    </row>
    <row r="1208" spans="1:4" ht="15">
      <c r="A1208" s="17" t="s">
        <v>706</v>
      </c>
      <c r="B1208" s="19" t="s">
        <v>707</v>
      </c>
      <c r="C1208" s="20">
        <f>5461.92+9375.84</f>
        <v>14837.76</v>
      </c>
      <c r="D1208" s="5"/>
    </row>
    <row r="1209" spans="1:4" ht="15">
      <c r="A1209" s="17" t="s">
        <v>708</v>
      </c>
      <c r="B1209" s="19" t="s">
        <v>709</v>
      </c>
      <c r="C1209" s="20">
        <f>2308.8+4225.77</f>
        <v>6534.570000000001</v>
      </c>
      <c r="D1209" s="5"/>
    </row>
    <row r="1210" spans="1:4" ht="18">
      <c r="A1210" s="17">
        <v>2</v>
      </c>
      <c r="B1210" s="18" t="s">
        <v>620</v>
      </c>
      <c r="C1210" s="21">
        <f>C1211+C1212</f>
        <v>21372.46</v>
      </c>
      <c r="D1210" s="13"/>
    </row>
    <row r="1211" spans="1:4" ht="15.75">
      <c r="A1211" s="17" t="s">
        <v>621</v>
      </c>
      <c r="B1211" s="22" t="s">
        <v>712</v>
      </c>
      <c r="C1211" s="23">
        <f>5461.94+9375.9</f>
        <v>14837.84</v>
      </c>
      <c r="D1211" s="13"/>
    </row>
    <row r="1212" spans="1:4" ht="15.75">
      <c r="A1212" s="17" t="s">
        <v>623</v>
      </c>
      <c r="B1212" s="22" t="s">
        <v>619</v>
      </c>
      <c r="C1212" s="23">
        <f>2308.82+4225.8</f>
        <v>6534.620000000001</v>
      </c>
      <c r="D1212" s="5"/>
    </row>
    <row r="1213" spans="1:4" ht="36">
      <c r="A1213" s="17">
        <v>5</v>
      </c>
      <c r="B1213" s="24" t="s">
        <v>625</v>
      </c>
      <c r="C1213" s="85">
        <f>C1214+C1216</f>
        <v>20583.843999999997</v>
      </c>
      <c r="D1213" s="13"/>
    </row>
    <row r="1214" spans="1:4" ht="18.75">
      <c r="A1214" s="86" t="s">
        <v>627</v>
      </c>
      <c r="B1214" s="87" t="s">
        <v>626</v>
      </c>
      <c r="C1214" s="27">
        <f>C1215</f>
        <v>10419.99</v>
      </c>
      <c r="D1214" s="13"/>
    </row>
    <row r="1215" spans="1:4" ht="15.75">
      <c r="A1215" s="17"/>
      <c r="B1215" s="87" t="s">
        <v>713</v>
      </c>
      <c r="C1215" s="88">
        <f>177*58.87</f>
        <v>10419.99</v>
      </c>
      <c r="D1215" s="13"/>
    </row>
    <row r="1216" spans="1:4" ht="18.75">
      <c r="A1216" s="17" t="s">
        <v>629</v>
      </c>
      <c r="B1216" s="87" t="s">
        <v>630</v>
      </c>
      <c r="C1216" s="27">
        <f>C1217+C1218+C1219+C1220+C1221</f>
        <v>10163.854</v>
      </c>
      <c r="D1216" s="13"/>
    </row>
    <row r="1217" spans="1:4" ht="25.5">
      <c r="A1217" s="30" t="s">
        <v>631</v>
      </c>
      <c r="B1217" s="31" t="s">
        <v>632</v>
      </c>
      <c r="C1217" s="148">
        <v>1465.53</v>
      </c>
      <c r="D1217" s="5"/>
    </row>
    <row r="1218" spans="1:4" ht="12.75">
      <c r="A1218" s="17" t="s">
        <v>633</v>
      </c>
      <c r="B1218" s="33" t="s">
        <v>17</v>
      </c>
      <c r="C1218" s="34">
        <v>34.27</v>
      </c>
      <c r="D1218" s="5"/>
    </row>
    <row r="1219" spans="1:4" ht="12.75">
      <c r="A1219" s="30" t="s">
        <v>639</v>
      </c>
      <c r="B1219" s="33" t="s">
        <v>406</v>
      </c>
      <c r="C1219" s="34">
        <f>0.9*230*12</f>
        <v>2484</v>
      </c>
      <c r="D1219" s="5"/>
    </row>
    <row r="1220" spans="1:4" ht="12.75">
      <c r="A1220" s="30" t="s">
        <v>647</v>
      </c>
      <c r="B1220" s="33" t="s">
        <v>23</v>
      </c>
      <c r="C1220" s="34">
        <f>C1208*0.15</f>
        <v>2225.6639999999998</v>
      </c>
      <c r="D1220" s="5"/>
    </row>
    <row r="1221" spans="1:4" ht="12.75">
      <c r="A1221" s="17" t="s">
        <v>717</v>
      </c>
      <c r="B1221" s="33" t="s">
        <v>24</v>
      </c>
      <c r="C1221" s="34">
        <v>3954.39</v>
      </c>
      <c r="D1221" s="13"/>
    </row>
    <row r="1222" spans="1:4" ht="30">
      <c r="A1222" s="8"/>
      <c r="B1222" s="45" t="s">
        <v>25</v>
      </c>
      <c r="C1222" s="46">
        <f>C1210-C1213</f>
        <v>788.6160000000018</v>
      </c>
      <c r="D1222" s="49"/>
    </row>
    <row r="1223" spans="1:4" ht="15.75">
      <c r="A1223" s="8"/>
      <c r="B1223" s="45" t="s">
        <v>26</v>
      </c>
      <c r="C1223" s="46">
        <v>7318.73</v>
      </c>
      <c r="D1223" s="5"/>
    </row>
    <row r="1224" spans="1:4" ht="15.75">
      <c r="A1224" s="8"/>
      <c r="B1224" s="45" t="s">
        <v>652</v>
      </c>
      <c r="C1224" s="46">
        <f>C1222+C1223</f>
        <v>8107.346000000001</v>
      </c>
      <c r="D1224" s="5"/>
    </row>
    <row r="1225" spans="1:4" ht="15.75">
      <c r="A1225" s="8"/>
      <c r="B1225" s="45"/>
      <c r="C1225" s="46"/>
      <c r="D1225" s="5"/>
    </row>
    <row r="1226" spans="1:4" ht="31.5">
      <c r="A1226" s="8"/>
      <c r="B1226" s="150" t="s">
        <v>27</v>
      </c>
      <c r="C1226" s="46">
        <v>0</v>
      </c>
      <c r="D1226" s="13"/>
    </row>
    <row r="1227" spans="1:4" ht="15.75">
      <c r="A1227" s="8"/>
      <c r="B1227" s="45" t="s">
        <v>654</v>
      </c>
      <c r="C1227" s="46">
        <v>0</v>
      </c>
      <c r="D1227" s="5"/>
    </row>
    <row r="1228" spans="1:4" ht="15.75">
      <c r="A1228" s="8"/>
      <c r="B1228" s="45" t="s">
        <v>726</v>
      </c>
      <c r="C1228" s="46">
        <v>0</v>
      </c>
      <c r="D1228" s="5"/>
    </row>
    <row r="1229" spans="1:3" ht="15.75">
      <c r="A1229" s="8"/>
      <c r="B1229" s="98"/>
      <c r="C1229" s="23"/>
    </row>
    <row r="1231" ht="12.75">
      <c r="B1231" t="s">
        <v>755</v>
      </c>
    </row>
    <row r="1232" ht="12.75">
      <c r="B1232" t="s">
        <v>63</v>
      </c>
    </row>
    <row r="1233" spans="2:3" ht="12.75">
      <c r="B1233" t="s">
        <v>407</v>
      </c>
      <c r="C1233" s="112">
        <f>177*58.87</f>
        <v>10419.99</v>
      </c>
    </row>
    <row r="1234" spans="2:3" ht="12.75">
      <c r="B1234" t="s">
        <v>408</v>
      </c>
      <c r="C1234" s="113">
        <f>111*58.87</f>
        <v>6534.57</v>
      </c>
    </row>
    <row r="1235" spans="2:3" ht="15">
      <c r="B1235" s="114" t="s">
        <v>409</v>
      </c>
      <c r="C1235" s="115">
        <f>C1233-C1234</f>
        <v>3885.42</v>
      </c>
    </row>
    <row r="1236" ht="51.75" customHeight="1"/>
    <row r="1237" spans="2:4" ht="15">
      <c r="B1237" s="196" t="s">
        <v>609</v>
      </c>
      <c r="C1237" s="196"/>
      <c r="D1237" s="196"/>
    </row>
    <row r="1238" spans="2:4" ht="15">
      <c r="B1238" s="197" t="s">
        <v>704</v>
      </c>
      <c r="C1238" s="197"/>
      <c r="D1238" s="1"/>
    </row>
    <row r="1239" spans="2:4" ht="18.75">
      <c r="B1239" s="198" t="s">
        <v>410</v>
      </c>
      <c r="C1239" s="198"/>
      <c r="D1239" s="198"/>
    </row>
    <row r="1240" spans="2:4" ht="15.75">
      <c r="B1240" s="199" t="s">
        <v>411</v>
      </c>
      <c r="C1240" s="199"/>
      <c r="D1240" s="199"/>
    </row>
    <row r="1241" spans="2:4" ht="12.75">
      <c r="B1241" s="3"/>
      <c r="C1241" s="4"/>
      <c r="D1241" s="5"/>
    </row>
    <row r="1242" spans="2:4" ht="14.25">
      <c r="B1242" s="6"/>
      <c r="C1242" s="7"/>
      <c r="D1242" s="5"/>
    </row>
    <row r="1243" spans="1:4" ht="14.25">
      <c r="A1243" s="8"/>
      <c r="B1243" s="155" t="s">
        <v>613</v>
      </c>
      <c r="C1243" s="156">
        <v>472.7</v>
      </c>
      <c r="D1243" s="5"/>
    </row>
    <row r="1244" spans="1:4" ht="12.75">
      <c r="A1244" s="8"/>
      <c r="B1244" s="11" t="s">
        <v>614</v>
      </c>
      <c r="C1244" s="12">
        <v>5.33</v>
      </c>
      <c r="D1244" s="13"/>
    </row>
    <row r="1245" spans="1:4" ht="12.75">
      <c r="A1245" s="8"/>
      <c r="B1245" s="14" t="s">
        <v>615</v>
      </c>
      <c r="C1245" s="12">
        <v>9.16</v>
      </c>
      <c r="D1245" s="13"/>
    </row>
    <row r="1246" spans="1:4" ht="18.75">
      <c r="A1246" s="17"/>
      <c r="B1246" s="15" t="s">
        <v>616</v>
      </c>
      <c r="C1246" s="16">
        <f>813.27+1396.89+445.67+851.22</f>
        <v>3507.05</v>
      </c>
      <c r="D1246" s="5"/>
    </row>
    <row r="1247" spans="1:4" ht="18.75">
      <c r="A1247" s="17" t="s">
        <v>412</v>
      </c>
      <c r="B1247" s="18" t="s">
        <v>617</v>
      </c>
      <c r="C1247" s="16">
        <f>C1248+C1249</f>
        <v>117250.02</v>
      </c>
      <c r="D1247" s="5"/>
    </row>
    <row r="1248" spans="1:4" ht="15">
      <c r="A1248" s="17" t="s">
        <v>706</v>
      </c>
      <c r="B1248" s="19" t="s">
        <v>413</v>
      </c>
      <c r="C1248" s="20">
        <f>30233.88+51959.28</f>
        <v>82193.16</v>
      </c>
      <c r="D1248" s="5"/>
    </row>
    <row r="1249" spans="1:4" ht="15">
      <c r="A1249" s="17" t="s">
        <v>708</v>
      </c>
      <c r="B1249" s="19" t="s">
        <v>709</v>
      </c>
      <c r="C1249" s="20">
        <f>12386.32+22670.54</f>
        <v>35056.86</v>
      </c>
      <c r="D1249" s="5"/>
    </row>
    <row r="1250" spans="1:4" ht="18">
      <c r="A1250" s="17" t="s">
        <v>414</v>
      </c>
      <c r="B1250" s="18" t="s">
        <v>620</v>
      </c>
      <c r="C1250" s="21">
        <f>C1251+C1252</f>
        <v>113574.66</v>
      </c>
      <c r="D1250" s="5"/>
    </row>
    <row r="1251" spans="1:4" ht="15.75">
      <c r="A1251" s="17" t="s">
        <v>621</v>
      </c>
      <c r="B1251" s="157" t="s">
        <v>415</v>
      </c>
      <c r="C1251" s="23">
        <f>29122.25+50048.07</f>
        <v>79170.32</v>
      </c>
      <c r="D1251" s="5"/>
    </row>
    <row r="1252" spans="1:4" ht="15.75">
      <c r="A1252" s="17" t="s">
        <v>623</v>
      </c>
      <c r="B1252" s="157" t="s">
        <v>416</v>
      </c>
      <c r="C1252" s="23">
        <f>12143.23+22261.11</f>
        <v>34404.34</v>
      </c>
      <c r="D1252" s="5"/>
    </row>
    <row r="1253" spans="1:4" ht="36">
      <c r="A1253" s="17">
        <v>3</v>
      </c>
      <c r="B1253" s="24" t="s">
        <v>625</v>
      </c>
      <c r="C1253" s="85">
        <f>C1254+C1256</f>
        <v>121921.97399999999</v>
      </c>
      <c r="D1253" s="5"/>
    </row>
    <row r="1254" spans="1:4" ht="18.75">
      <c r="A1254" s="17" t="s">
        <v>417</v>
      </c>
      <c r="B1254" s="87" t="s">
        <v>418</v>
      </c>
      <c r="C1254" s="27">
        <f>C1255</f>
        <v>35322</v>
      </c>
      <c r="D1254" s="5"/>
    </row>
    <row r="1255" spans="1:4" ht="15.75">
      <c r="A1255" s="17" t="s">
        <v>419</v>
      </c>
      <c r="B1255" s="87" t="s">
        <v>420</v>
      </c>
      <c r="C1255" s="88">
        <f>600*58.87</f>
        <v>35322</v>
      </c>
      <c r="D1255" s="5"/>
    </row>
    <row r="1256" spans="1:4" ht="18.75">
      <c r="A1256" s="17" t="s">
        <v>421</v>
      </c>
      <c r="B1256" s="87" t="s">
        <v>422</v>
      </c>
      <c r="C1256" s="27">
        <f>C1257+C1258+C1259+C1260+C1261+C1262+C1263</f>
        <v>86599.97399999999</v>
      </c>
      <c r="D1256" s="5"/>
    </row>
    <row r="1257" spans="1:4" ht="25.5">
      <c r="A1257" s="30" t="s">
        <v>423</v>
      </c>
      <c r="B1257" s="158" t="s">
        <v>424</v>
      </c>
      <c r="C1257" s="32">
        <v>39542.69</v>
      </c>
      <c r="D1257" s="5"/>
    </row>
    <row r="1258" spans="1:4" ht="12.75">
      <c r="A1258" s="17" t="s">
        <v>631</v>
      </c>
      <c r="B1258" s="159" t="s">
        <v>425</v>
      </c>
      <c r="C1258" s="34">
        <v>38.52</v>
      </c>
      <c r="D1258" s="5"/>
    </row>
    <row r="1259" spans="1:4" ht="12.75">
      <c r="A1259" s="17" t="s">
        <v>633</v>
      </c>
      <c r="B1259" s="160" t="s">
        <v>426</v>
      </c>
      <c r="C1259" s="34">
        <v>11230.52</v>
      </c>
      <c r="D1259" s="5"/>
    </row>
    <row r="1260" spans="1:4" ht="12.75">
      <c r="A1260" s="17" t="s">
        <v>635</v>
      </c>
      <c r="B1260" s="160" t="s">
        <v>427</v>
      </c>
      <c r="C1260" s="34">
        <v>1068.57</v>
      </c>
      <c r="D1260" s="5"/>
    </row>
    <row r="1261" spans="1:4" ht="12.75">
      <c r="A1261" s="30" t="s">
        <v>637</v>
      </c>
      <c r="B1261" s="159" t="s">
        <v>428</v>
      </c>
      <c r="C1261" s="34">
        <f>2.3*230*12</f>
        <v>6348</v>
      </c>
      <c r="D1261" s="5"/>
    </row>
    <row r="1262" spans="1:4" ht="12.75">
      <c r="A1262" s="30" t="s">
        <v>639</v>
      </c>
      <c r="B1262" s="159" t="s">
        <v>429</v>
      </c>
      <c r="C1262" s="34">
        <f>C1248*0.15</f>
        <v>12328.974</v>
      </c>
      <c r="D1262" s="5"/>
    </row>
    <row r="1263" spans="1:4" ht="12.75">
      <c r="A1263" s="8" t="s">
        <v>641</v>
      </c>
      <c r="B1263" s="159" t="s">
        <v>430</v>
      </c>
      <c r="C1263" s="34">
        <v>16042.7</v>
      </c>
      <c r="D1263" s="5"/>
    </row>
    <row r="1264" spans="1:4" ht="12.75">
      <c r="A1264" s="8"/>
      <c r="B1264" s="37"/>
      <c r="C1264" s="161"/>
      <c r="D1264" s="5"/>
    </row>
    <row r="1265" spans="1:4" ht="30">
      <c r="A1265" s="8"/>
      <c r="B1265" s="45" t="s">
        <v>431</v>
      </c>
      <c r="C1265" s="46">
        <f>C1250-C1253</f>
        <v>-8347.313999999984</v>
      </c>
      <c r="D1265" s="5"/>
    </row>
    <row r="1266" spans="1:4" ht="15.75">
      <c r="A1266" s="8"/>
      <c r="B1266" s="45" t="s">
        <v>651</v>
      </c>
      <c r="C1266" s="46">
        <v>-5439.88</v>
      </c>
      <c r="D1266" s="5"/>
    </row>
    <row r="1267" spans="1:4" ht="15.75">
      <c r="A1267" s="8"/>
      <c r="B1267" s="45" t="s">
        <v>652</v>
      </c>
      <c r="C1267" s="46">
        <f>C1265+C1266</f>
        <v>-13787.193999999985</v>
      </c>
      <c r="D1267" s="5"/>
    </row>
    <row r="1268" spans="1:4" ht="15.75">
      <c r="A1268" s="8"/>
      <c r="B1268" s="45"/>
      <c r="C1268" s="46"/>
      <c r="D1268" s="5"/>
    </row>
    <row r="1269" spans="1:4" ht="15.75">
      <c r="A1269" s="8"/>
      <c r="B1269" s="45" t="s">
        <v>653</v>
      </c>
      <c r="C1269" s="46">
        <f>C1250-(C1246+C1247)</f>
        <v>-7182.4100000000035</v>
      </c>
      <c r="D1269" s="5"/>
    </row>
    <row r="1270" spans="1:4" ht="15.75">
      <c r="A1270" s="8"/>
      <c r="B1270" s="45" t="s">
        <v>654</v>
      </c>
      <c r="C1270" s="46">
        <v>-5233</v>
      </c>
      <c r="D1270" s="5"/>
    </row>
    <row r="1271" spans="1:4" ht="15.75">
      <c r="A1271" s="8"/>
      <c r="B1271" s="45" t="s">
        <v>726</v>
      </c>
      <c r="C1271" s="46">
        <v>-1949.41</v>
      </c>
      <c r="D1271" s="5"/>
    </row>
    <row r="1272" spans="1:4" ht="50.25" customHeight="1">
      <c r="A1272" s="43"/>
      <c r="B1272" s="163"/>
      <c r="C1272" s="164"/>
      <c r="D1272" s="5"/>
    </row>
    <row r="1273" spans="2:4" ht="15">
      <c r="B1273" s="196" t="s">
        <v>609</v>
      </c>
      <c r="C1273" s="196"/>
      <c r="D1273" s="196"/>
    </row>
    <row r="1274" spans="2:4" ht="15">
      <c r="B1274" s="197" t="s">
        <v>704</v>
      </c>
      <c r="C1274" s="197"/>
      <c r="D1274" s="1"/>
    </row>
    <row r="1275" spans="2:4" ht="18.75">
      <c r="B1275" s="198" t="s">
        <v>432</v>
      </c>
      <c r="C1275" s="198"/>
      <c r="D1275" s="198"/>
    </row>
    <row r="1276" spans="2:4" ht="15.75">
      <c r="B1276" s="199" t="s">
        <v>411</v>
      </c>
      <c r="C1276" s="199"/>
      <c r="D1276" s="199"/>
    </row>
    <row r="1277" spans="2:4" ht="15.75">
      <c r="B1277" s="2"/>
      <c r="C1277" s="2"/>
      <c r="D1277" s="2"/>
    </row>
    <row r="1278" spans="1:4" ht="14.25">
      <c r="A1278" s="8"/>
      <c r="B1278" s="155" t="s">
        <v>613</v>
      </c>
      <c r="C1278" s="156">
        <v>1835.7</v>
      </c>
      <c r="D1278" s="5"/>
    </row>
    <row r="1279" spans="1:4" ht="12.75">
      <c r="A1279" s="8"/>
      <c r="B1279" s="11" t="s">
        <v>614</v>
      </c>
      <c r="C1279" s="12">
        <v>5.33</v>
      </c>
      <c r="D1279" s="13"/>
    </row>
    <row r="1280" spans="1:4" ht="12.75">
      <c r="A1280" s="8"/>
      <c r="B1280" s="14" t="s">
        <v>615</v>
      </c>
      <c r="C1280" s="12">
        <v>9.16</v>
      </c>
      <c r="D1280" s="13"/>
    </row>
    <row r="1281" spans="1:4" ht="18.75">
      <c r="A1281" s="17"/>
      <c r="B1281" s="15" t="s">
        <v>616</v>
      </c>
      <c r="C1281" s="16">
        <f>23345.03+28521.62+55234.11+41992.13</f>
        <v>149092.88999999998</v>
      </c>
      <c r="D1281" s="5"/>
    </row>
    <row r="1282" spans="1:4" ht="18.75">
      <c r="A1282" s="17" t="s">
        <v>412</v>
      </c>
      <c r="B1282" s="18" t="s">
        <v>617</v>
      </c>
      <c r="C1282" s="16">
        <f>C1283+C1284</f>
        <v>515936.89</v>
      </c>
      <c r="D1282" s="5"/>
    </row>
    <row r="1283" spans="1:4" ht="15">
      <c r="A1283" s="17" t="s">
        <v>706</v>
      </c>
      <c r="B1283" s="19" t="s">
        <v>413</v>
      </c>
      <c r="C1283" s="20">
        <f>117412.27+201780.91</f>
        <v>319193.18</v>
      </c>
      <c r="D1283" s="5"/>
    </row>
    <row r="1284" spans="1:4" ht="15">
      <c r="A1284" s="17" t="s">
        <v>708</v>
      </c>
      <c r="B1284" s="19" t="s">
        <v>709</v>
      </c>
      <c r="C1284" s="20">
        <f>69513.6+127230.11</f>
        <v>196743.71000000002</v>
      </c>
      <c r="D1284" s="5"/>
    </row>
    <row r="1285" spans="1:4" ht="18">
      <c r="A1285" s="17" t="s">
        <v>414</v>
      </c>
      <c r="B1285" s="18" t="s">
        <v>620</v>
      </c>
      <c r="C1285" s="21">
        <f>C1286+C1287</f>
        <v>483120.68000000005</v>
      </c>
      <c r="D1285" s="5"/>
    </row>
    <row r="1286" spans="1:4" ht="15.75">
      <c r="A1286" s="17" t="s">
        <v>621</v>
      </c>
      <c r="B1286" s="157" t="s">
        <v>433</v>
      </c>
      <c r="C1286" s="23">
        <f>107712.6+186995.17</f>
        <v>294707.77</v>
      </c>
      <c r="D1286" s="5"/>
    </row>
    <row r="1287" spans="1:4" ht="15.75">
      <c r="A1287" s="17" t="s">
        <v>623</v>
      </c>
      <c r="B1287" s="157" t="s">
        <v>416</v>
      </c>
      <c r="C1287" s="23">
        <f>66167.75+122245.16</f>
        <v>188412.91</v>
      </c>
      <c r="D1287" s="5"/>
    </row>
    <row r="1288" spans="1:4" ht="36">
      <c r="A1288" s="17">
        <v>3</v>
      </c>
      <c r="B1288" s="24" t="s">
        <v>625</v>
      </c>
      <c r="C1288" s="85">
        <f>C1289+C1291</f>
        <v>764910.467</v>
      </c>
      <c r="D1288" s="5"/>
    </row>
    <row r="1289" spans="1:4" ht="18.75">
      <c r="A1289" s="17" t="s">
        <v>417</v>
      </c>
      <c r="B1289" s="87" t="s">
        <v>626</v>
      </c>
      <c r="C1289" s="27">
        <f>C1290</f>
        <v>221468.94</v>
      </c>
      <c r="D1289" s="5"/>
    </row>
    <row r="1290" spans="1:4" ht="15.75">
      <c r="A1290" s="17" t="s">
        <v>419</v>
      </c>
      <c r="B1290" s="87" t="s">
        <v>713</v>
      </c>
      <c r="C1290" s="88">
        <f>3762*58.87</f>
        <v>221468.94</v>
      </c>
      <c r="D1290" s="5"/>
    </row>
    <row r="1291" spans="1:4" ht="18.75">
      <c r="A1291" s="17" t="s">
        <v>421</v>
      </c>
      <c r="B1291" s="87" t="s">
        <v>630</v>
      </c>
      <c r="C1291" s="27">
        <f>C1292+C1293+C1294+C1295+C1296+C1297+C1298+C1299</f>
        <v>543441.527</v>
      </c>
      <c r="D1291" s="5"/>
    </row>
    <row r="1292" spans="1:4" ht="25.5">
      <c r="A1292" s="30" t="s">
        <v>423</v>
      </c>
      <c r="B1292" s="104" t="s">
        <v>424</v>
      </c>
      <c r="C1292" s="32">
        <v>62988.73</v>
      </c>
      <c r="D1292" s="5"/>
    </row>
    <row r="1293" spans="1:4" ht="12.75">
      <c r="A1293" s="30"/>
      <c r="B1293" s="165" t="s">
        <v>434</v>
      </c>
      <c r="C1293" s="166">
        <v>472.47</v>
      </c>
      <c r="D1293" s="5"/>
    </row>
    <row r="1294" spans="1:4" ht="12.75">
      <c r="A1294" s="17" t="s">
        <v>631</v>
      </c>
      <c r="B1294" s="159" t="s">
        <v>425</v>
      </c>
      <c r="C1294" s="34">
        <v>100.39</v>
      </c>
      <c r="D1294" s="5"/>
    </row>
    <row r="1295" spans="1:4" ht="12.75">
      <c r="A1295" s="17" t="s">
        <v>633</v>
      </c>
      <c r="B1295" s="160" t="s">
        <v>426</v>
      </c>
      <c r="C1295" s="34">
        <v>19065.76</v>
      </c>
      <c r="D1295" s="5"/>
    </row>
    <row r="1296" spans="1:4" ht="12.75">
      <c r="A1296" s="17" t="s">
        <v>635</v>
      </c>
      <c r="B1296" s="160" t="s">
        <v>427</v>
      </c>
      <c r="C1296" s="34">
        <v>7326.54</v>
      </c>
      <c r="D1296" s="5"/>
    </row>
    <row r="1297" spans="1:4" ht="12.75">
      <c r="A1297" s="30" t="s">
        <v>637</v>
      </c>
      <c r="B1297" s="159" t="s">
        <v>435</v>
      </c>
      <c r="C1297" s="34">
        <f>7.6*230*12</f>
        <v>20976</v>
      </c>
      <c r="D1297" s="5"/>
    </row>
    <row r="1298" spans="1:4" ht="12.75">
      <c r="A1298" s="30" t="s">
        <v>639</v>
      </c>
      <c r="B1298" s="159" t="s">
        <v>429</v>
      </c>
      <c r="C1298" s="34">
        <f>C1283*0.15</f>
        <v>47878.977</v>
      </c>
      <c r="D1298" s="5"/>
    </row>
    <row r="1299" spans="1:4" ht="12.75">
      <c r="A1299" s="8" t="s">
        <v>641</v>
      </c>
      <c r="B1299" s="159" t="s">
        <v>436</v>
      </c>
      <c r="C1299" s="34">
        <v>384632.66</v>
      </c>
      <c r="D1299" s="5"/>
    </row>
    <row r="1300" spans="1:4" ht="12.75">
      <c r="A1300" s="8"/>
      <c r="B1300" s="37"/>
      <c r="C1300" s="167"/>
      <c r="D1300" s="5"/>
    </row>
    <row r="1301" spans="1:4" ht="30">
      <c r="A1301" s="8"/>
      <c r="B1301" s="45" t="s">
        <v>437</v>
      </c>
      <c r="C1301" s="46">
        <f>C1285-C1288</f>
        <v>-281789.7869999999</v>
      </c>
      <c r="D1301" s="5"/>
    </row>
    <row r="1302" spans="1:4" ht="15.75">
      <c r="A1302" s="8"/>
      <c r="B1302" s="45" t="s">
        <v>651</v>
      </c>
      <c r="C1302" s="46">
        <v>176602.68</v>
      </c>
      <c r="D1302" s="5"/>
    </row>
    <row r="1303" spans="1:4" ht="15.75">
      <c r="A1303" s="8"/>
      <c r="B1303" s="45" t="s">
        <v>652</v>
      </c>
      <c r="C1303" s="46">
        <f>C1301+C1302</f>
        <v>-105187.1069999999</v>
      </c>
      <c r="D1303" s="5"/>
    </row>
    <row r="1304" spans="1:4" ht="15.75">
      <c r="A1304" s="8"/>
      <c r="B1304" s="45"/>
      <c r="C1304" s="46"/>
      <c r="D1304" s="5"/>
    </row>
    <row r="1305" spans="1:4" ht="15.75">
      <c r="A1305" s="8"/>
      <c r="B1305" s="45" t="s">
        <v>653</v>
      </c>
      <c r="C1305" s="46">
        <f>C1285-(C1281+C1282)</f>
        <v>-181909.09999999998</v>
      </c>
      <c r="D1305" s="5"/>
    </row>
    <row r="1306" spans="1:4" ht="15.75">
      <c r="A1306" s="8"/>
      <c r="B1306" s="45" t="s">
        <v>654</v>
      </c>
      <c r="C1306" s="46">
        <v>-89822.57</v>
      </c>
      <c r="D1306" s="5"/>
    </row>
    <row r="1307" spans="1:4" ht="15.75">
      <c r="A1307" s="8"/>
      <c r="B1307" s="45" t="s">
        <v>726</v>
      </c>
      <c r="C1307" s="46">
        <v>-92082.53</v>
      </c>
      <c r="D1307" s="5"/>
    </row>
    <row r="1308" spans="1:4" ht="15.75">
      <c r="A1308" s="43"/>
      <c r="B1308" s="168"/>
      <c r="C1308" s="49"/>
      <c r="D1308" s="5"/>
    </row>
    <row r="1309" spans="1:4" ht="15.75">
      <c r="A1309" s="43"/>
      <c r="B1309" s="168"/>
      <c r="C1309" s="49"/>
      <c r="D1309" s="5"/>
    </row>
    <row r="1310" spans="1:4" ht="12.75">
      <c r="A1310" s="43"/>
      <c r="B1310" t="s">
        <v>755</v>
      </c>
      <c r="D1310" s="5"/>
    </row>
    <row r="1311" ht="12.75">
      <c r="B1311" t="s">
        <v>769</v>
      </c>
    </row>
    <row r="1312" spans="2:3" ht="12.75">
      <c r="B1312" t="s">
        <v>438</v>
      </c>
      <c r="C1312" s="113">
        <f>3762*58.87</f>
        <v>221468.94</v>
      </c>
    </row>
    <row r="1313" spans="2:3" ht="12.75">
      <c r="B1313" t="s">
        <v>439</v>
      </c>
      <c r="C1313" s="113">
        <f>3378*58.87</f>
        <v>198862.86</v>
      </c>
    </row>
    <row r="1314" spans="2:3" ht="15">
      <c r="B1314" s="114" t="s">
        <v>440</v>
      </c>
      <c r="C1314" s="115">
        <f>C1312-C1313</f>
        <v>22606.080000000016</v>
      </c>
    </row>
    <row r="1315" ht="54" customHeight="1"/>
    <row r="1316" spans="2:4" ht="15">
      <c r="B1316" s="196" t="s">
        <v>609</v>
      </c>
      <c r="C1316" s="196"/>
      <c r="D1316" s="196"/>
    </row>
    <row r="1317" spans="2:4" ht="15">
      <c r="B1317" s="197" t="s">
        <v>704</v>
      </c>
      <c r="C1317" s="197"/>
      <c r="D1317" s="1"/>
    </row>
    <row r="1318" spans="2:4" ht="18.75">
      <c r="B1318" s="198" t="s">
        <v>441</v>
      </c>
      <c r="C1318" s="198"/>
      <c r="D1318" s="198"/>
    </row>
    <row r="1319" spans="2:4" ht="15.75">
      <c r="B1319" s="199" t="s">
        <v>411</v>
      </c>
      <c r="C1319" s="199"/>
      <c r="D1319" s="199"/>
    </row>
    <row r="1320" spans="2:4" ht="15.75">
      <c r="B1320" s="2"/>
      <c r="C1320" s="2"/>
      <c r="D1320" s="2"/>
    </row>
    <row r="1321" spans="1:4" ht="14.25">
      <c r="A1321" s="8"/>
      <c r="B1321" s="155" t="s">
        <v>613</v>
      </c>
      <c r="C1321" s="156">
        <v>289.3</v>
      </c>
      <c r="D1321" s="5"/>
    </row>
    <row r="1322" spans="1:4" ht="12.75">
      <c r="A1322" s="8"/>
      <c r="B1322" s="11" t="s">
        <v>614</v>
      </c>
      <c r="C1322" s="12">
        <v>5.33</v>
      </c>
      <c r="D1322" s="13"/>
    </row>
    <row r="1323" spans="1:4" ht="12.75">
      <c r="A1323" s="8"/>
      <c r="B1323" s="14" t="s">
        <v>615</v>
      </c>
      <c r="C1323" s="12">
        <v>9.16</v>
      </c>
      <c r="D1323" s="13"/>
    </row>
    <row r="1324" spans="1:4" ht="18.75">
      <c r="A1324" s="17"/>
      <c r="B1324" s="15" t="s">
        <v>616</v>
      </c>
      <c r="C1324" s="16">
        <f>642.2+256.75+431.11+1103.13</f>
        <v>2433.19</v>
      </c>
      <c r="D1324" s="5"/>
    </row>
    <row r="1325" spans="1:4" ht="18.75">
      <c r="A1325" s="17" t="s">
        <v>412</v>
      </c>
      <c r="B1325" s="18" t="s">
        <v>617</v>
      </c>
      <c r="C1325" s="16">
        <f>C1326+C1327</f>
        <v>62348.04</v>
      </c>
      <c r="D1325" s="5"/>
    </row>
    <row r="1326" spans="1:4" ht="15">
      <c r="A1326" s="17" t="s">
        <v>706</v>
      </c>
      <c r="B1326" s="19" t="s">
        <v>413</v>
      </c>
      <c r="C1326" s="20">
        <f>18503.64+31800</f>
        <v>50303.64</v>
      </c>
      <c r="D1326" s="5"/>
    </row>
    <row r="1327" spans="1:4" ht="15">
      <c r="A1327" s="17" t="s">
        <v>708</v>
      </c>
      <c r="B1327" s="19" t="s">
        <v>709</v>
      </c>
      <c r="C1327" s="20">
        <f>4430.4+7614</f>
        <v>12044.4</v>
      </c>
      <c r="D1327" s="5"/>
    </row>
    <row r="1328" spans="1:4" ht="18">
      <c r="A1328" s="17" t="s">
        <v>414</v>
      </c>
      <c r="B1328" s="18" t="s">
        <v>620</v>
      </c>
      <c r="C1328" s="21">
        <f>C1329+C1330</f>
        <v>60192.990000000005</v>
      </c>
      <c r="D1328" s="5"/>
    </row>
    <row r="1329" spans="1:4" ht="15.75">
      <c r="A1329" s="17" t="s">
        <v>621</v>
      </c>
      <c r="B1329" s="157" t="s">
        <v>433</v>
      </c>
      <c r="C1329" s="23">
        <f>17728.34+30467.04</f>
        <v>48195.380000000005</v>
      </c>
      <c r="D1329" s="5"/>
    </row>
    <row r="1330" spans="1:4" ht="15.75">
      <c r="A1330" s="17" t="s">
        <v>623</v>
      </c>
      <c r="B1330" s="157" t="s">
        <v>416</v>
      </c>
      <c r="C1330" s="23">
        <f>4413.33+7584.28</f>
        <v>11997.61</v>
      </c>
      <c r="D1330" s="5"/>
    </row>
    <row r="1331" spans="1:4" ht="36">
      <c r="A1331" s="17">
        <v>3</v>
      </c>
      <c r="B1331" s="24" t="s">
        <v>625</v>
      </c>
      <c r="C1331" s="85">
        <f>C1332+C1334</f>
        <v>63710.646</v>
      </c>
      <c r="D1331" s="5"/>
    </row>
    <row r="1332" spans="1:4" ht="18.75">
      <c r="A1332" s="17" t="s">
        <v>417</v>
      </c>
      <c r="B1332" s="87" t="s">
        <v>626</v>
      </c>
      <c r="C1332" s="27">
        <f>C1333</f>
        <v>16660.21</v>
      </c>
      <c r="D1332" s="5"/>
    </row>
    <row r="1333" spans="1:4" ht="15.75">
      <c r="A1333" s="17" t="s">
        <v>419</v>
      </c>
      <c r="B1333" s="87" t="s">
        <v>713</v>
      </c>
      <c r="C1333" s="88">
        <f>283*58.87</f>
        <v>16660.21</v>
      </c>
      <c r="D1333" s="5"/>
    </row>
    <row r="1334" spans="1:4" ht="18.75">
      <c r="A1334" s="17" t="s">
        <v>421</v>
      </c>
      <c r="B1334" s="87" t="s">
        <v>630</v>
      </c>
      <c r="C1334" s="27">
        <f>C1335+C1336+C1337+C1338+C1339+C1340</f>
        <v>47050.436</v>
      </c>
      <c r="D1334" s="5"/>
    </row>
    <row r="1335" spans="1:4" ht="25.5">
      <c r="A1335" s="30" t="s">
        <v>423</v>
      </c>
      <c r="B1335" s="104" t="s">
        <v>424</v>
      </c>
      <c r="C1335" s="32">
        <v>20372.28</v>
      </c>
      <c r="D1335" s="5"/>
    </row>
    <row r="1336" spans="1:4" ht="12.75">
      <c r="A1336" s="17" t="s">
        <v>631</v>
      </c>
      <c r="B1336" s="159" t="s">
        <v>425</v>
      </c>
      <c r="C1336" s="34">
        <v>23.93</v>
      </c>
      <c r="D1336" s="5"/>
    </row>
    <row r="1337" spans="1:4" ht="12.75">
      <c r="A1337" s="17" t="s">
        <v>635</v>
      </c>
      <c r="B1337" s="160" t="s">
        <v>427</v>
      </c>
      <c r="C1337" s="34">
        <v>608.22</v>
      </c>
      <c r="D1337" s="5"/>
    </row>
    <row r="1338" spans="1:4" ht="12.75">
      <c r="A1338" s="30" t="s">
        <v>637</v>
      </c>
      <c r="B1338" s="159" t="s">
        <v>442</v>
      </c>
      <c r="C1338" s="34">
        <f>0.8*230*12</f>
        <v>2208</v>
      </c>
      <c r="D1338" s="5"/>
    </row>
    <row r="1339" spans="1:4" ht="12.75">
      <c r="A1339" s="30" t="s">
        <v>639</v>
      </c>
      <c r="B1339" s="159" t="s">
        <v>429</v>
      </c>
      <c r="C1339" s="34">
        <f>C1326*0.15</f>
        <v>7545.545999999999</v>
      </c>
      <c r="D1339" s="5"/>
    </row>
    <row r="1340" spans="1:4" ht="12.75">
      <c r="A1340" s="8" t="s">
        <v>641</v>
      </c>
      <c r="B1340" s="159" t="s">
        <v>436</v>
      </c>
      <c r="C1340" s="34">
        <f>C1342+C1343</f>
        <v>16292.460000000001</v>
      </c>
      <c r="D1340" s="5"/>
    </row>
    <row r="1341" spans="1:4" ht="12.75">
      <c r="A1341" s="8"/>
      <c r="B1341" s="159" t="s">
        <v>443</v>
      </c>
      <c r="C1341" s="34"/>
      <c r="D1341" s="5"/>
    </row>
    <row r="1342" spans="1:4" ht="12.75">
      <c r="A1342" s="8"/>
      <c r="B1342" s="36" t="s">
        <v>444</v>
      </c>
      <c r="C1342" s="41">
        <v>1615.52</v>
      </c>
      <c r="D1342" s="5"/>
    </row>
    <row r="1343" spans="1:4" ht="24">
      <c r="A1343" s="8"/>
      <c r="B1343" s="169" t="s">
        <v>445</v>
      </c>
      <c r="C1343" s="170">
        <v>14676.94</v>
      </c>
      <c r="D1343" s="5"/>
    </row>
    <row r="1344" spans="1:4" ht="12.75">
      <c r="A1344" s="8"/>
      <c r="B1344" s="171"/>
      <c r="C1344" s="172"/>
      <c r="D1344" s="5"/>
    </row>
    <row r="1345" spans="1:4" ht="30">
      <c r="A1345" s="8"/>
      <c r="B1345" s="45" t="s">
        <v>437</v>
      </c>
      <c r="C1345" s="46">
        <f>C1328-C1331</f>
        <v>-3517.6559999999954</v>
      </c>
      <c r="D1345" s="5"/>
    </row>
    <row r="1346" spans="1:4" ht="15.75">
      <c r="A1346" s="8"/>
      <c r="B1346" s="45" t="s">
        <v>651</v>
      </c>
      <c r="C1346" s="46">
        <v>4869.71</v>
      </c>
      <c r="D1346" s="5"/>
    </row>
    <row r="1347" spans="1:4" ht="15.75">
      <c r="A1347" s="8"/>
      <c r="B1347" s="45" t="s">
        <v>652</v>
      </c>
      <c r="C1347" s="46">
        <f>C1345+C1346</f>
        <v>1352.0540000000046</v>
      </c>
      <c r="D1347" s="5"/>
    </row>
    <row r="1348" spans="1:4" ht="15.75">
      <c r="A1348" s="8"/>
      <c r="B1348" s="45"/>
      <c r="C1348" s="46"/>
      <c r="D1348" s="5"/>
    </row>
    <row r="1349" spans="1:4" ht="15.75">
      <c r="A1349" s="8"/>
      <c r="B1349" s="45" t="s">
        <v>653</v>
      </c>
      <c r="C1349" s="46">
        <f>C1328-(C1324+C1325)</f>
        <v>-4588.239999999998</v>
      </c>
      <c r="D1349" s="5"/>
    </row>
    <row r="1350" spans="1:4" ht="15.75">
      <c r="A1350" s="8"/>
      <c r="B1350" s="45" t="s">
        <v>654</v>
      </c>
      <c r="C1350" s="46">
        <v>-3853.59</v>
      </c>
      <c r="D1350" s="5"/>
    </row>
    <row r="1351" spans="1:4" ht="15.75">
      <c r="A1351" s="8"/>
      <c r="B1351" s="45" t="s">
        <v>726</v>
      </c>
      <c r="C1351" s="46">
        <v>-734.65</v>
      </c>
      <c r="D1351" s="5"/>
    </row>
    <row r="1352" spans="1:4" ht="15.75">
      <c r="A1352" s="43"/>
      <c r="B1352" s="168"/>
      <c r="C1352" s="49"/>
      <c r="D1352" s="5"/>
    </row>
    <row r="1353" spans="1:4" ht="12.75">
      <c r="A1353" s="43"/>
      <c r="B1353" t="s">
        <v>755</v>
      </c>
      <c r="D1353" s="5"/>
    </row>
    <row r="1354" ht="12.75">
      <c r="B1354" t="s">
        <v>769</v>
      </c>
    </row>
    <row r="1355" spans="2:3" ht="12.75">
      <c r="B1355" t="s">
        <v>446</v>
      </c>
      <c r="C1355" s="113">
        <f>283*58.87</f>
        <v>16660.21</v>
      </c>
    </row>
    <row r="1356" spans="2:3" ht="12.75">
      <c r="B1356" t="s">
        <v>447</v>
      </c>
      <c r="C1356" s="113">
        <f>200*58.87</f>
        <v>11774</v>
      </c>
    </row>
    <row r="1357" spans="2:3" ht="15">
      <c r="B1357" s="114" t="s">
        <v>448</v>
      </c>
      <c r="C1357" s="115">
        <f>C1355-C1356</f>
        <v>4886.209999999999</v>
      </c>
    </row>
    <row r="1358" ht="52.5" customHeight="1"/>
    <row r="1359" spans="2:4" ht="15">
      <c r="B1359" s="196" t="s">
        <v>609</v>
      </c>
      <c r="C1359" s="196"/>
      <c r="D1359" s="196"/>
    </row>
    <row r="1360" spans="2:4" ht="15">
      <c r="B1360" s="197" t="s">
        <v>610</v>
      </c>
      <c r="C1360" s="197"/>
      <c r="D1360" s="1"/>
    </row>
    <row r="1361" spans="2:4" ht="18.75">
      <c r="B1361" s="198" t="s">
        <v>449</v>
      </c>
      <c r="C1361" s="198"/>
      <c r="D1361" s="198"/>
    </row>
    <row r="1362" spans="2:4" ht="15.75">
      <c r="B1362" s="199" t="s">
        <v>612</v>
      </c>
      <c r="C1362" s="199"/>
      <c r="D1362" s="199"/>
    </row>
    <row r="1363" spans="2:4" ht="12.75">
      <c r="B1363" s="3"/>
      <c r="C1363" s="4"/>
      <c r="D1363" s="5"/>
    </row>
    <row r="1364" spans="2:4" ht="14.25">
      <c r="B1364" s="6"/>
      <c r="C1364" s="7"/>
      <c r="D1364" s="5"/>
    </row>
    <row r="1365" spans="1:4" ht="15.75">
      <c r="A1365" s="8"/>
      <c r="B1365" s="51" t="s">
        <v>613</v>
      </c>
      <c r="C1365" s="99">
        <v>282.85</v>
      </c>
      <c r="D1365" s="5"/>
    </row>
    <row r="1366" spans="1:4" ht="15">
      <c r="A1366" s="8"/>
      <c r="B1366" s="53" t="s">
        <v>667</v>
      </c>
      <c r="C1366" s="54">
        <v>3.74</v>
      </c>
      <c r="D1366" s="13"/>
    </row>
    <row r="1367" spans="1:4" ht="15">
      <c r="A1367" s="8"/>
      <c r="B1367" s="55" t="s">
        <v>615</v>
      </c>
      <c r="C1367" s="56">
        <v>6.42</v>
      </c>
      <c r="D1367" s="13"/>
    </row>
    <row r="1368" spans="1:4" ht="18.75">
      <c r="A1368" s="8"/>
      <c r="B1368" s="15" t="s">
        <v>616</v>
      </c>
      <c r="C1368" s="57">
        <f>1549.57+2656.63</f>
        <v>4206.2</v>
      </c>
      <c r="D1368" s="13"/>
    </row>
    <row r="1369" spans="1:4" ht="18">
      <c r="A1369" s="17">
        <v>1</v>
      </c>
      <c r="B1369" s="18" t="s">
        <v>668</v>
      </c>
      <c r="C1369" s="21">
        <f>12694.32+21790.68</f>
        <v>34485</v>
      </c>
      <c r="D1369" s="5"/>
    </row>
    <row r="1370" spans="1:4" ht="18">
      <c r="A1370" s="17">
        <v>2</v>
      </c>
      <c r="B1370" s="58" t="s">
        <v>669</v>
      </c>
      <c r="C1370" s="59">
        <f>(C1368+C1369)-C1372</f>
        <v>30493.159999999996</v>
      </c>
      <c r="D1370" s="5"/>
    </row>
    <row r="1371" spans="1:4" ht="15">
      <c r="A1371" s="17">
        <v>3</v>
      </c>
      <c r="B1371" s="19" t="s">
        <v>670</v>
      </c>
      <c r="C1371" s="20"/>
      <c r="D1371" s="5"/>
    </row>
    <row r="1372" spans="1:4" ht="18.75">
      <c r="A1372" s="17"/>
      <c r="B1372" s="60" t="s">
        <v>671</v>
      </c>
      <c r="C1372" s="16">
        <f>3017.92+5180.12</f>
        <v>8198.04</v>
      </c>
      <c r="D1372" s="5"/>
    </row>
    <row r="1373" spans="1:4" ht="15">
      <c r="A1373" s="61"/>
      <c r="B1373" s="62"/>
      <c r="C1373" s="63"/>
      <c r="D1373" s="5"/>
    </row>
    <row r="1374" spans="1:4" ht="15">
      <c r="A1374" s="61"/>
      <c r="B1374" s="62"/>
      <c r="C1374" s="63"/>
      <c r="D1374" s="5"/>
    </row>
    <row r="1375" spans="1:4" ht="31.5">
      <c r="A1375" s="17">
        <v>4</v>
      </c>
      <c r="B1375" s="64" t="s">
        <v>625</v>
      </c>
      <c r="C1375" s="65">
        <f>C1376+C1377+C1378+C1379+C1380+C1381+C1382</f>
        <v>22316.54</v>
      </c>
      <c r="D1375" s="5"/>
    </row>
    <row r="1376" spans="1:4" ht="26.25">
      <c r="A1376" s="30" t="s">
        <v>672</v>
      </c>
      <c r="B1376" s="31" t="s">
        <v>632</v>
      </c>
      <c r="C1376" s="66">
        <v>9718.61</v>
      </c>
      <c r="D1376" s="5"/>
    </row>
    <row r="1377" spans="1:4" ht="15.75">
      <c r="A1377" s="17" t="s">
        <v>697</v>
      </c>
      <c r="B1377" s="79" t="s">
        <v>823</v>
      </c>
      <c r="C1377" s="23">
        <v>2644.92</v>
      </c>
      <c r="D1377" s="5"/>
    </row>
    <row r="1378" spans="1:4" ht="15.75">
      <c r="A1378" s="17" t="s">
        <v>673</v>
      </c>
      <c r="B1378" s="79" t="s">
        <v>699</v>
      </c>
      <c r="C1378" s="23">
        <v>21.52</v>
      </c>
      <c r="D1378" s="5"/>
    </row>
    <row r="1379" spans="1:4" ht="24.75">
      <c r="A1379" s="17" t="s">
        <v>676</v>
      </c>
      <c r="B1379" s="37" t="s">
        <v>450</v>
      </c>
      <c r="C1379" s="23">
        <v>342.74</v>
      </c>
      <c r="D1379" s="5"/>
    </row>
    <row r="1380" spans="1:4" ht="15.75">
      <c r="A1380" s="17" t="s">
        <v>31</v>
      </c>
      <c r="B1380" s="81" t="s">
        <v>451</v>
      </c>
      <c r="C1380" s="69">
        <f>1.6*230*12</f>
        <v>4416</v>
      </c>
      <c r="D1380" s="5"/>
    </row>
    <row r="1381" spans="1:4" ht="15.75">
      <c r="A1381" s="8" t="s">
        <v>33</v>
      </c>
      <c r="B1381" s="82" t="s">
        <v>703</v>
      </c>
      <c r="C1381" s="71">
        <f>C1369*0.15</f>
        <v>5172.75</v>
      </c>
      <c r="D1381" s="5"/>
    </row>
    <row r="1382" spans="1:4" ht="15.75">
      <c r="A1382" s="8" t="s">
        <v>34</v>
      </c>
      <c r="B1382" s="79" t="s">
        <v>452</v>
      </c>
      <c r="C1382" s="23">
        <v>0</v>
      </c>
      <c r="D1382" s="5"/>
    </row>
    <row r="1383" spans="1:4" ht="12.75">
      <c r="A1383" s="8"/>
      <c r="B1383" s="36"/>
      <c r="C1383" s="78"/>
      <c r="D1383" s="5"/>
    </row>
    <row r="1384" spans="1:3" ht="18">
      <c r="A1384" s="8"/>
      <c r="B1384" s="73" t="s">
        <v>683</v>
      </c>
      <c r="C1384" s="74">
        <v>-21573.12</v>
      </c>
    </row>
    <row r="1385" spans="1:4" ht="18">
      <c r="A1385" s="8"/>
      <c r="B1385" s="73" t="s">
        <v>453</v>
      </c>
      <c r="C1385" s="59">
        <f>C1370-C1375</f>
        <v>8176.619999999995</v>
      </c>
      <c r="D1385" s="75"/>
    </row>
    <row r="1386" spans="1:3" ht="18.75">
      <c r="A1386" s="8"/>
      <c r="B1386" s="76" t="s">
        <v>652</v>
      </c>
      <c r="C1386" s="59">
        <f>SUM(C1384:C1385)</f>
        <v>-13396.500000000004</v>
      </c>
    </row>
    <row r="1387" ht="52.5" customHeight="1"/>
    <row r="1388" spans="2:4" ht="15">
      <c r="B1388" s="196" t="s">
        <v>609</v>
      </c>
      <c r="C1388" s="196"/>
      <c r="D1388" s="196"/>
    </row>
    <row r="1389" spans="2:4" ht="15">
      <c r="B1389" s="197" t="s">
        <v>610</v>
      </c>
      <c r="C1389" s="197"/>
      <c r="D1389" s="1"/>
    </row>
    <row r="1390" spans="2:4" ht="18.75">
      <c r="B1390" s="198" t="s">
        <v>454</v>
      </c>
      <c r="C1390" s="198"/>
      <c r="D1390" s="198"/>
    </row>
    <row r="1391" spans="2:4" ht="15.75">
      <c r="B1391" s="199" t="s">
        <v>612</v>
      </c>
      <c r="C1391" s="199"/>
      <c r="D1391" s="199"/>
    </row>
    <row r="1392" spans="2:4" ht="12.75">
      <c r="B1392" s="3"/>
      <c r="C1392" s="4"/>
      <c r="D1392" s="5"/>
    </row>
    <row r="1393" spans="2:4" ht="14.25">
      <c r="B1393" s="6"/>
      <c r="C1393" s="7"/>
      <c r="D1393" s="5"/>
    </row>
    <row r="1394" spans="1:4" ht="15.75">
      <c r="A1394" s="8"/>
      <c r="B1394" s="51" t="s">
        <v>613</v>
      </c>
      <c r="C1394" s="99">
        <v>540.73</v>
      </c>
      <c r="D1394" s="5"/>
    </row>
    <row r="1395" spans="1:4" ht="15">
      <c r="A1395" s="8"/>
      <c r="B1395" s="53" t="s">
        <v>667</v>
      </c>
      <c r="C1395" s="54">
        <v>3.2</v>
      </c>
      <c r="D1395" s="13"/>
    </row>
    <row r="1396" spans="1:4" ht="15">
      <c r="A1396" s="8"/>
      <c r="B1396" s="55" t="s">
        <v>615</v>
      </c>
      <c r="C1396" s="56">
        <v>5.49</v>
      </c>
      <c r="D1396" s="13"/>
    </row>
    <row r="1397" spans="1:4" ht="18.75">
      <c r="A1397" s="8"/>
      <c r="B1397" s="15" t="s">
        <v>616</v>
      </c>
      <c r="C1397" s="57">
        <f>481.85+825.49</f>
        <v>1307.3400000000001</v>
      </c>
      <c r="D1397" s="13"/>
    </row>
    <row r="1398" spans="1:4" ht="18">
      <c r="A1398" s="17">
        <v>1</v>
      </c>
      <c r="B1398" s="18" t="s">
        <v>668</v>
      </c>
      <c r="C1398" s="21">
        <f>20763.96+35623.56</f>
        <v>56387.52</v>
      </c>
      <c r="D1398" s="5"/>
    </row>
    <row r="1399" spans="1:4" ht="18">
      <c r="A1399" s="17">
        <v>2</v>
      </c>
      <c r="B1399" s="58" t="s">
        <v>669</v>
      </c>
      <c r="C1399" s="59">
        <f>(C1397+C1398)-C1401</f>
        <v>53915.15</v>
      </c>
      <c r="D1399" s="5"/>
    </row>
    <row r="1400" spans="1:4" ht="15">
      <c r="A1400" s="17">
        <v>3</v>
      </c>
      <c r="B1400" s="19" t="s">
        <v>670</v>
      </c>
      <c r="C1400" s="20"/>
      <c r="D1400" s="5"/>
    </row>
    <row r="1401" spans="1:4" ht="18.75">
      <c r="A1401" s="17"/>
      <c r="B1401" s="60" t="s">
        <v>671</v>
      </c>
      <c r="C1401" s="16">
        <f>1391.84+2387.87</f>
        <v>3779.71</v>
      </c>
      <c r="D1401" s="5"/>
    </row>
    <row r="1402" spans="1:4" ht="15">
      <c r="A1402" s="61"/>
      <c r="B1402" s="62"/>
      <c r="C1402" s="63"/>
      <c r="D1402" s="5"/>
    </row>
    <row r="1403" spans="1:4" ht="15">
      <c r="A1403" s="61"/>
      <c r="B1403" s="62"/>
      <c r="C1403" s="63"/>
      <c r="D1403" s="5"/>
    </row>
    <row r="1404" spans="1:4" ht="31.5">
      <c r="A1404" s="17">
        <v>4</v>
      </c>
      <c r="B1404" s="64" t="s">
        <v>625</v>
      </c>
      <c r="C1404" s="27">
        <f>C1405+C1406+C1407+C1408+C1409+C1410</f>
        <v>49119.937999999995</v>
      </c>
      <c r="D1404" s="5"/>
    </row>
    <row r="1405" spans="1:4" ht="26.25">
      <c r="A1405" s="30" t="s">
        <v>672</v>
      </c>
      <c r="B1405" s="31" t="s">
        <v>632</v>
      </c>
      <c r="C1405" s="66">
        <v>1277.12</v>
      </c>
      <c r="D1405" s="5"/>
    </row>
    <row r="1406" spans="1:4" ht="15.75">
      <c r="A1406" s="17" t="s">
        <v>697</v>
      </c>
      <c r="B1406" s="83" t="s">
        <v>455</v>
      </c>
      <c r="C1406" s="23">
        <v>524.52</v>
      </c>
      <c r="D1406" s="5"/>
    </row>
    <row r="1407" spans="1:4" ht="15.75">
      <c r="A1407" s="17" t="s">
        <v>673</v>
      </c>
      <c r="B1407" s="79" t="s">
        <v>91</v>
      </c>
      <c r="C1407" s="23">
        <v>38.23</v>
      </c>
      <c r="D1407" s="5"/>
    </row>
    <row r="1408" spans="1:4" ht="15.75">
      <c r="A1408" s="17" t="s">
        <v>31</v>
      </c>
      <c r="B1408" s="81" t="s">
        <v>456</v>
      </c>
      <c r="C1408" s="69">
        <f>2.8*230*12</f>
        <v>7728</v>
      </c>
      <c r="D1408" s="5"/>
    </row>
    <row r="1409" spans="1:4" ht="15.75">
      <c r="A1409" s="8" t="s">
        <v>33</v>
      </c>
      <c r="B1409" s="82" t="s">
        <v>678</v>
      </c>
      <c r="C1409" s="71">
        <f>C1398*0.15</f>
        <v>8458.127999999999</v>
      </c>
      <c r="D1409" s="5"/>
    </row>
    <row r="1410" spans="1:4" ht="15.75">
      <c r="A1410" s="8" t="s">
        <v>34</v>
      </c>
      <c r="B1410" s="79" t="s">
        <v>404</v>
      </c>
      <c r="C1410" s="23">
        <v>31093.94</v>
      </c>
      <c r="D1410" s="5"/>
    </row>
    <row r="1411" spans="1:4" ht="12.75">
      <c r="A1411" s="8"/>
      <c r="B1411" s="173"/>
      <c r="C1411" s="117"/>
      <c r="D1411" s="5"/>
    </row>
    <row r="1412" spans="1:3" ht="18">
      <c r="A1412" s="8"/>
      <c r="B1412" s="73" t="s">
        <v>683</v>
      </c>
      <c r="C1412" s="59">
        <v>20421.73</v>
      </c>
    </row>
    <row r="1413" spans="1:4" ht="18">
      <c r="A1413" s="8"/>
      <c r="B1413" s="73" t="s">
        <v>53</v>
      </c>
      <c r="C1413" s="59">
        <f>C1399-C1404</f>
        <v>4795.212000000007</v>
      </c>
      <c r="D1413" s="75"/>
    </row>
    <row r="1414" spans="1:3" ht="18.75">
      <c r="A1414" s="8"/>
      <c r="B1414" s="76" t="s">
        <v>54</v>
      </c>
      <c r="C1414" s="59">
        <f>SUM(C1412:C1413)</f>
        <v>25216.942000000006</v>
      </c>
    </row>
    <row r="1415" ht="51.75" customHeight="1"/>
    <row r="1416" spans="2:4" ht="15">
      <c r="B1416" s="196" t="s">
        <v>609</v>
      </c>
      <c r="C1416" s="196"/>
      <c r="D1416" s="196"/>
    </row>
    <row r="1417" spans="2:4" ht="15">
      <c r="B1417" s="197" t="s">
        <v>610</v>
      </c>
      <c r="C1417" s="197"/>
      <c r="D1417" s="1"/>
    </row>
    <row r="1418" spans="2:4" ht="18.75">
      <c r="B1418" s="198" t="s">
        <v>457</v>
      </c>
      <c r="C1418" s="198"/>
      <c r="D1418" s="198"/>
    </row>
    <row r="1419" spans="2:4" ht="15.75">
      <c r="B1419" s="199" t="s">
        <v>612</v>
      </c>
      <c r="C1419" s="199"/>
      <c r="D1419" s="199"/>
    </row>
    <row r="1420" spans="2:4" ht="12.75">
      <c r="B1420" s="3"/>
      <c r="C1420" s="4"/>
      <c r="D1420" s="5"/>
    </row>
    <row r="1421" spans="2:4" ht="14.25">
      <c r="B1421" s="6"/>
      <c r="C1421" s="7"/>
      <c r="D1421" s="5"/>
    </row>
    <row r="1422" spans="1:4" ht="15.75">
      <c r="A1422" s="8"/>
      <c r="B1422" s="51" t="s">
        <v>613</v>
      </c>
      <c r="C1422" s="99">
        <v>521.25</v>
      </c>
      <c r="D1422" s="5"/>
    </row>
    <row r="1423" spans="1:4" ht="15">
      <c r="A1423" s="8"/>
      <c r="B1423" s="53" t="s">
        <v>667</v>
      </c>
      <c r="C1423" s="54">
        <v>3.2</v>
      </c>
      <c r="D1423" s="13"/>
    </row>
    <row r="1424" spans="1:4" ht="15">
      <c r="A1424" s="8"/>
      <c r="B1424" s="55" t="s">
        <v>615</v>
      </c>
      <c r="C1424" s="56">
        <v>5.49</v>
      </c>
      <c r="D1424" s="13"/>
    </row>
    <row r="1425" spans="1:4" ht="18.75">
      <c r="A1425" s="8"/>
      <c r="B1425" s="15" t="s">
        <v>616</v>
      </c>
      <c r="C1425" s="57">
        <f>11047.97+18916.02</f>
        <v>29963.989999999998</v>
      </c>
      <c r="D1425" s="13"/>
    </row>
    <row r="1426" spans="1:4" ht="18">
      <c r="A1426" s="17">
        <v>1</v>
      </c>
      <c r="B1426" s="18" t="s">
        <v>668</v>
      </c>
      <c r="C1426" s="21">
        <f>20014.92+34337.88</f>
        <v>54352.799999999996</v>
      </c>
      <c r="D1426" s="5"/>
    </row>
    <row r="1427" spans="1:4" ht="18">
      <c r="A1427" s="17">
        <v>2</v>
      </c>
      <c r="B1427" s="58" t="s">
        <v>669</v>
      </c>
      <c r="C1427" s="59">
        <f>(C1425+C1426)-C1429</f>
        <v>45284.81999999999</v>
      </c>
      <c r="D1427" s="5"/>
    </row>
    <row r="1428" spans="1:4" ht="15">
      <c r="A1428" s="17">
        <v>3</v>
      </c>
      <c r="B1428" s="19" t="s">
        <v>670</v>
      </c>
      <c r="C1428" s="20"/>
      <c r="D1428" s="5"/>
    </row>
    <row r="1429" spans="1:4" ht="18.75">
      <c r="A1429" s="17"/>
      <c r="B1429" s="60" t="s">
        <v>671</v>
      </c>
      <c r="C1429" s="16">
        <f>14384.46+24647.51</f>
        <v>39031.97</v>
      </c>
      <c r="D1429" s="5"/>
    </row>
    <row r="1430" spans="1:4" ht="15">
      <c r="A1430" s="61"/>
      <c r="B1430" s="62"/>
      <c r="C1430" s="63"/>
      <c r="D1430" s="5"/>
    </row>
    <row r="1431" spans="1:4" ht="15">
      <c r="A1431" s="61"/>
      <c r="B1431" s="62"/>
      <c r="C1431" s="63"/>
      <c r="D1431" s="5"/>
    </row>
    <row r="1432" spans="1:4" ht="31.5">
      <c r="A1432" s="17">
        <v>4</v>
      </c>
      <c r="B1432" s="64" t="s">
        <v>625</v>
      </c>
      <c r="C1432" s="27">
        <f>C1433+C1434+C1435+C1436+C1437+C1438</f>
        <v>20686.089999999997</v>
      </c>
      <c r="D1432" s="5"/>
    </row>
    <row r="1433" spans="1:4" ht="26.25">
      <c r="A1433" s="30" t="s">
        <v>672</v>
      </c>
      <c r="B1433" s="31" t="s">
        <v>632</v>
      </c>
      <c r="C1433" s="23">
        <v>1981.8</v>
      </c>
      <c r="D1433" s="5"/>
    </row>
    <row r="1434" spans="1:4" ht="15.75">
      <c r="A1434" s="17" t="s">
        <v>697</v>
      </c>
      <c r="B1434" s="83" t="s">
        <v>455</v>
      </c>
      <c r="C1434" s="23">
        <v>744.93</v>
      </c>
      <c r="D1434" s="5"/>
    </row>
    <row r="1435" spans="1:4" ht="15.75">
      <c r="A1435" s="17" t="s">
        <v>673</v>
      </c>
      <c r="B1435" s="79" t="s">
        <v>91</v>
      </c>
      <c r="C1435" s="23">
        <v>38.23</v>
      </c>
      <c r="D1435" s="5"/>
    </row>
    <row r="1436" spans="1:4" ht="15.75">
      <c r="A1436" s="17" t="s">
        <v>31</v>
      </c>
      <c r="B1436" s="81" t="s">
        <v>458</v>
      </c>
      <c r="C1436" s="69">
        <f>2.6*230*12</f>
        <v>7176</v>
      </c>
      <c r="D1436" s="5"/>
    </row>
    <row r="1437" spans="1:4" ht="15.75">
      <c r="A1437" s="8" t="s">
        <v>33</v>
      </c>
      <c r="B1437" s="82" t="s">
        <v>678</v>
      </c>
      <c r="C1437" s="71">
        <f>C1426*0.15</f>
        <v>8152.919999999999</v>
      </c>
      <c r="D1437" s="5"/>
    </row>
    <row r="1438" spans="1:4" ht="15.75">
      <c r="A1438" s="8" t="s">
        <v>34</v>
      </c>
      <c r="B1438" s="79" t="s">
        <v>404</v>
      </c>
      <c r="C1438" s="23">
        <v>2592.21</v>
      </c>
      <c r="D1438" s="5"/>
    </row>
    <row r="1439" spans="1:4" ht="12.75">
      <c r="A1439" s="8"/>
      <c r="B1439" s="173"/>
      <c r="C1439" s="117"/>
      <c r="D1439" s="5"/>
    </row>
    <row r="1440" spans="1:3" ht="18">
      <c r="A1440" s="8"/>
      <c r="B1440" s="73" t="s">
        <v>683</v>
      </c>
      <c r="C1440" s="59">
        <v>10637.72</v>
      </c>
    </row>
    <row r="1441" spans="1:4" ht="18">
      <c r="A1441" s="8"/>
      <c r="B1441" s="73" t="s">
        <v>53</v>
      </c>
      <c r="C1441" s="59">
        <f>C1427-C1432</f>
        <v>24598.729999999996</v>
      </c>
      <c r="D1441" s="75"/>
    </row>
    <row r="1442" spans="1:3" ht="18.75">
      <c r="A1442" s="8"/>
      <c r="B1442" s="76" t="s">
        <v>54</v>
      </c>
      <c r="C1442" s="59">
        <f>SUM(C1440:C1441)</f>
        <v>35236.45</v>
      </c>
    </row>
    <row r="1443" ht="51" customHeight="1"/>
    <row r="1444" spans="2:4" ht="15">
      <c r="B1444" s="196" t="s">
        <v>609</v>
      </c>
      <c r="C1444" s="196"/>
      <c r="D1444" s="196"/>
    </row>
    <row r="1445" spans="2:4" ht="15">
      <c r="B1445" s="197" t="s">
        <v>704</v>
      </c>
      <c r="C1445" s="197"/>
      <c r="D1445" s="1"/>
    </row>
    <row r="1446" spans="2:4" ht="18.75">
      <c r="B1446" s="198" t="s">
        <v>459</v>
      </c>
      <c r="C1446" s="198"/>
      <c r="D1446" s="198"/>
    </row>
    <row r="1447" spans="2:4" ht="15.75">
      <c r="B1447" s="199" t="s">
        <v>411</v>
      </c>
      <c r="C1447" s="199"/>
      <c r="D1447" s="199"/>
    </row>
    <row r="1448" spans="2:4" ht="15.75">
      <c r="B1448" s="2"/>
      <c r="C1448" s="2"/>
      <c r="D1448" s="2"/>
    </row>
    <row r="1449" spans="1:4" ht="14.25">
      <c r="A1449" s="8"/>
      <c r="B1449" s="155" t="s">
        <v>613</v>
      </c>
      <c r="C1449" s="156">
        <v>500.78</v>
      </c>
      <c r="D1449" s="5"/>
    </row>
    <row r="1450" spans="1:4" ht="12.75">
      <c r="A1450" s="8"/>
      <c r="B1450" s="11" t="s">
        <v>614</v>
      </c>
      <c r="C1450" s="12">
        <v>4.28</v>
      </c>
      <c r="D1450" s="13"/>
    </row>
    <row r="1451" spans="1:4" ht="12.75">
      <c r="A1451" s="8"/>
      <c r="B1451" s="14" t="s">
        <v>615</v>
      </c>
      <c r="C1451" s="12">
        <v>7.34</v>
      </c>
      <c r="D1451" s="13"/>
    </row>
    <row r="1452" spans="1:4" ht="18.75">
      <c r="A1452" s="17"/>
      <c r="B1452" s="15" t="s">
        <v>616</v>
      </c>
      <c r="C1452" s="16">
        <f>8151.46+544.11+992.68+13959.19</f>
        <v>23647.440000000002</v>
      </c>
      <c r="D1452" s="5"/>
    </row>
    <row r="1453" spans="1:4" ht="18.75">
      <c r="A1453" s="17" t="s">
        <v>412</v>
      </c>
      <c r="B1453" s="18" t="s">
        <v>617</v>
      </c>
      <c r="C1453" s="16">
        <f>C1454+C1455</f>
        <v>92040.76999999999</v>
      </c>
      <c r="D1453" s="5"/>
    </row>
    <row r="1454" spans="1:4" ht="15">
      <c r="A1454" s="17" t="s">
        <v>706</v>
      </c>
      <c r="B1454" s="19" t="s">
        <v>413</v>
      </c>
      <c r="C1454" s="20">
        <f>25726.65+44120.13</f>
        <v>69846.78</v>
      </c>
      <c r="D1454" s="5"/>
    </row>
    <row r="1455" spans="1:4" ht="15">
      <c r="A1455" s="17" t="s">
        <v>708</v>
      </c>
      <c r="B1455" s="19" t="s">
        <v>709</v>
      </c>
      <c r="C1455" s="20">
        <f>7841.6+14352.39</f>
        <v>22193.989999999998</v>
      </c>
      <c r="D1455" s="5"/>
    </row>
    <row r="1456" spans="1:4" ht="18">
      <c r="A1456" s="17" t="s">
        <v>414</v>
      </c>
      <c r="B1456" s="18" t="s">
        <v>620</v>
      </c>
      <c r="C1456" s="21">
        <f>C1457+C1458</f>
        <v>84089.12</v>
      </c>
      <c r="D1456" s="5"/>
    </row>
    <row r="1457" spans="1:4" ht="15.75">
      <c r="A1457" s="17" t="s">
        <v>621</v>
      </c>
      <c r="B1457" s="157" t="s">
        <v>433</v>
      </c>
      <c r="C1457" s="23">
        <f>23072.17+39564.95</f>
        <v>62637.119999999995</v>
      </c>
      <c r="D1457" s="5"/>
    </row>
    <row r="1458" spans="1:4" ht="15.75">
      <c r="A1458" s="17" t="s">
        <v>623</v>
      </c>
      <c r="B1458" s="157" t="s">
        <v>416</v>
      </c>
      <c r="C1458" s="23">
        <f>7572.08+13879.92</f>
        <v>21452</v>
      </c>
      <c r="D1458" s="5"/>
    </row>
    <row r="1459" spans="1:4" ht="36">
      <c r="A1459" s="17">
        <v>3</v>
      </c>
      <c r="B1459" s="24" t="s">
        <v>625</v>
      </c>
      <c r="C1459" s="85">
        <f>C1460+C1462</f>
        <v>88334.68699999999</v>
      </c>
      <c r="D1459" s="5"/>
    </row>
    <row r="1460" spans="1:4" ht="18.75">
      <c r="A1460" s="17" t="s">
        <v>417</v>
      </c>
      <c r="B1460" s="87" t="s">
        <v>626</v>
      </c>
      <c r="C1460" s="27">
        <f>C1461</f>
        <v>12892.529999999999</v>
      </c>
      <c r="D1460" s="5"/>
    </row>
    <row r="1461" spans="1:4" ht="15.75">
      <c r="A1461" s="17" t="s">
        <v>419</v>
      </c>
      <c r="B1461" s="87" t="s">
        <v>713</v>
      </c>
      <c r="C1461" s="88">
        <f>219*58.87</f>
        <v>12892.529999999999</v>
      </c>
      <c r="D1461" s="5"/>
    </row>
    <row r="1462" spans="1:4" ht="18.75">
      <c r="A1462" s="17" t="s">
        <v>421</v>
      </c>
      <c r="B1462" s="87" t="s">
        <v>630</v>
      </c>
      <c r="C1462" s="27">
        <f>C1463+C1464+C1465+C1466+C1467+C1468</f>
        <v>75442.15699999999</v>
      </c>
      <c r="D1462" s="5"/>
    </row>
    <row r="1463" spans="1:4" ht="25.5">
      <c r="A1463" s="30" t="s">
        <v>423</v>
      </c>
      <c r="B1463" s="104" t="s">
        <v>424</v>
      </c>
      <c r="C1463" s="32">
        <v>16415.05</v>
      </c>
      <c r="D1463" s="5"/>
    </row>
    <row r="1464" spans="1:4" ht="12.75">
      <c r="A1464" s="17" t="s">
        <v>631</v>
      </c>
      <c r="B1464" s="159" t="s">
        <v>425</v>
      </c>
      <c r="C1464" s="34">
        <v>35.26</v>
      </c>
      <c r="D1464" s="5"/>
    </row>
    <row r="1465" spans="1:4" ht="12.75">
      <c r="A1465" s="17" t="s">
        <v>635</v>
      </c>
      <c r="B1465" s="160" t="s">
        <v>427</v>
      </c>
      <c r="C1465" s="34">
        <v>1754.91</v>
      </c>
      <c r="D1465" s="5"/>
    </row>
    <row r="1466" spans="1:4" ht="12.75">
      <c r="A1466" s="30" t="s">
        <v>637</v>
      </c>
      <c r="B1466" s="159" t="s">
        <v>460</v>
      </c>
      <c r="C1466" s="34">
        <f>2.4*230*12</f>
        <v>6624</v>
      </c>
      <c r="D1466" s="5"/>
    </row>
    <row r="1467" spans="1:4" ht="12.75">
      <c r="A1467" s="30" t="s">
        <v>639</v>
      </c>
      <c r="B1467" s="159" t="s">
        <v>429</v>
      </c>
      <c r="C1467" s="34">
        <f>C1454*0.15</f>
        <v>10477.017</v>
      </c>
      <c r="D1467" s="5"/>
    </row>
    <row r="1468" spans="1:4" ht="12.75">
      <c r="A1468" s="8" t="s">
        <v>641</v>
      </c>
      <c r="B1468" s="159" t="s">
        <v>436</v>
      </c>
      <c r="C1468" s="34">
        <v>40135.92</v>
      </c>
      <c r="D1468" s="5"/>
    </row>
    <row r="1469" spans="1:4" ht="12.75">
      <c r="A1469" s="8"/>
      <c r="B1469" s="159"/>
      <c r="C1469" s="34"/>
      <c r="D1469" s="5"/>
    </row>
    <row r="1470" spans="1:4" ht="30">
      <c r="A1470" s="8"/>
      <c r="B1470" s="45" t="s">
        <v>461</v>
      </c>
      <c r="C1470" s="46">
        <f>C1456-C1459</f>
        <v>-4245.5669999999955</v>
      </c>
      <c r="D1470" s="5"/>
    </row>
    <row r="1471" spans="1:4" ht="15.75">
      <c r="A1471" s="8"/>
      <c r="B1471" s="45" t="s">
        <v>651</v>
      </c>
      <c r="C1471" s="46">
        <v>7277.31</v>
      </c>
      <c r="D1471" s="5"/>
    </row>
    <row r="1472" spans="1:4" ht="15.75">
      <c r="A1472" s="8"/>
      <c r="B1472" s="45" t="s">
        <v>652</v>
      </c>
      <c r="C1472" s="46">
        <f>C1470+C1471</f>
        <v>3031.743000000005</v>
      </c>
      <c r="D1472" s="5"/>
    </row>
    <row r="1473" spans="1:4" ht="15.75">
      <c r="A1473" s="8"/>
      <c r="B1473" s="45"/>
      <c r="C1473" s="46"/>
      <c r="D1473" s="5"/>
    </row>
    <row r="1474" spans="1:4" ht="15.75">
      <c r="A1474" s="8"/>
      <c r="B1474" s="45" t="s">
        <v>653</v>
      </c>
      <c r="C1474" s="46">
        <f>C1456-(C1452+C1453)</f>
        <v>-31599.089999999997</v>
      </c>
      <c r="D1474" s="5"/>
    </row>
    <row r="1475" spans="1:4" ht="15.75">
      <c r="A1475" s="8"/>
      <c r="B1475" s="45" t="s">
        <v>654</v>
      </c>
      <c r="C1475" s="46">
        <v>-29320.31</v>
      </c>
      <c r="D1475" s="5"/>
    </row>
    <row r="1476" spans="1:4" ht="15.75">
      <c r="A1476" s="8"/>
      <c r="B1476" s="45" t="s">
        <v>726</v>
      </c>
      <c r="C1476" s="46">
        <v>-2278.78</v>
      </c>
      <c r="D1476" s="5"/>
    </row>
    <row r="1477" ht="51" customHeight="1"/>
    <row r="1478" spans="2:4" ht="15">
      <c r="B1478" s="196" t="s">
        <v>609</v>
      </c>
      <c r="C1478" s="196"/>
      <c r="D1478" s="196"/>
    </row>
    <row r="1479" spans="2:4" ht="15">
      <c r="B1479" s="197" t="s">
        <v>610</v>
      </c>
      <c r="C1479" s="197"/>
      <c r="D1479" s="1"/>
    </row>
    <row r="1480" spans="2:4" ht="18.75">
      <c r="B1480" s="198" t="s">
        <v>462</v>
      </c>
      <c r="C1480" s="198"/>
      <c r="D1480" s="198"/>
    </row>
    <row r="1481" spans="2:4" ht="15.75">
      <c r="B1481" s="199" t="s">
        <v>612</v>
      </c>
      <c r="C1481" s="199"/>
      <c r="D1481" s="199"/>
    </row>
    <row r="1482" spans="2:4" ht="12.75">
      <c r="B1482" s="3"/>
      <c r="C1482" s="4"/>
      <c r="D1482" s="5"/>
    </row>
    <row r="1483" spans="2:4" ht="14.25">
      <c r="B1483" s="6"/>
      <c r="C1483" s="7"/>
      <c r="D1483" s="5"/>
    </row>
    <row r="1484" spans="1:4" ht="15.75">
      <c r="A1484" s="8"/>
      <c r="B1484" s="51" t="s">
        <v>613</v>
      </c>
      <c r="C1484" s="99">
        <v>535.51</v>
      </c>
      <c r="D1484" s="5"/>
    </row>
    <row r="1485" spans="1:4" ht="15">
      <c r="A1485" s="8"/>
      <c r="B1485" s="53" t="s">
        <v>667</v>
      </c>
      <c r="C1485" s="54">
        <v>3.2</v>
      </c>
      <c r="D1485" s="13"/>
    </row>
    <row r="1486" spans="1:4" ht="15">
      <c r="A1486" s="8"/>
      <c r="B1486" s="55" t="s">
        <v>615</v>
      </c>
      <c r="C1486" s="56">
        <v>5.49</v>
      </c>
      <c r="D1486" s="13"/>
    </row>
    <row r="1487" spans="1:4" ht="18.75">
      <c r="A1487" s="8"/>
      <c r="B1487" s="15" t="s">
        <v>616</v>
      </c>
      <c r="C1487" s="57">
        <f>7615.65+13038.06</f>
        <v>20653.71</v>
      </c>
      <c r="D1487" s="13"/>
    </row>
    <row r="1488" spans="1:4" ht="18">
      <c r="A1488" s="17">
        <v>1</v>
      </c>
      <c r="B1488" s="18" t="s">
        <v>668</v>
      </c>
      <c r="C1488" s="21">
        <f>20562+35276.64</f>
        <v>55838.64</v>
      </c>
      <c r="D1488" s="5"/>
    </row>
    <row r="1489" spans="1:4" ht="18">
      <c r="A1489" s="17">
        <v>2</v>
      </c>
      <c r="B1489" s="58" t="s">
        <v>669</v>
      </c>
      <c r="C1489" s="59">
        <f>(C1487+C1488)-C1491</f>
        <v>46244.43000000001</v>
      </c>
      <c r="D1489" s="5"/>
    </row>
    <row r="1490" spans="1:4" ht="15">
      <c r="A1490" s="17">
        <v>3</v>
      </c>
      <c r="B1490" s="19" t="s">
        <v>670</v>
      </c>
      <c r="C1490" s="20"/>
      <c r="D1490" s="5"/>
    </row>
    <row r="1491" spans="1:4" ht="18.75">
      <c r="A1491" s="17"/>
      <c r="B1491" s="60" t="s">
        <v>671</v>
      </c>
      <c r="C1491" s="16">
        <f>11146.13+19101.79</f>
        <v>30247.92</v>
      </c>
      <c r="D1491" s="5"/>
    </row>
    <row r="1492" spans="1:4" ht="15">
      <c r="A1492" s="61"/>
      <c r="B1492" s="62"/>
      <c r="C1492" s="63"/>
      <c r="D1492" s="5"/>
    </row>
    <row r="1493" spans="1:4" ht="15">
      <c r="A1493" s="61"/>
      <c r="B1493" s="62"/>
      <c r="C1493" s="63"/>
      <c r="D1493" s="5"/>
    </row>
    <row r="1494" spans="1:4" ht="31.5">
      <c r="A1494" s="17">
        <v>4</v>
      </c>
      <c r="B1494" s="64" t="s">
        <v>625</v>
      </c>
      <c r="C1494" s="65">
        <f>C1495+C1496+C1497+C1498+C1499+C1500+C1501</f>
        <v>45480.606</v>
      </c>
      <c r="D1494" s="5"/>
    </row>
    <row r="1495" spans="1:4" ht="26.25">
      <c r="A1495" s="30" t="s">
        <v>672</v>
      </c>
      <c r="B1495" s="31" t="s">
        <v>632</v>
      </c>
      <c r="C1495" s="66">
        <v>2487.48</v>
      </c>
      <c r="D1495" s="5"/>
    </row>
    <row r="1496" spans="1:4" ht="15.75">
      <c r="A1496" s="17" t="s">
        <v>697</v>
      </c>
      <c r="B1496" s="79" t="s">
        <v>463</v>
      </c>
      <c r="C1496" s="23">
        <v>2555.64</v>
      </c>
      <c r="D1496" s="5"/>
    </row>
    <row r="1497" spans="1:4" ht="15.75">
      <c r="A1497" s="17" t="s">
        <v>673</v>
      </c>
      <c r="B1497" s="79" t="s">
        <v>699</v>
      </c>
      <c r="C1497" s="23">
        <v>38.09</v>
      </c>
      <c r="D1497" s="5"/>
    </row>
    <row r="1498" spans="1:4" ht="15.75">
      <c r="A1498" s="17" t="s">
        <v>676</v>
      </c>
      <c r="B1498" s="36" t="s">
        <v>464</v>
      </c>
      <c r="C1498" s="23">
        <v>1600</v>
      </c>
      <c r="D1498" s="5"/>
    </row>
    <row r="1499" spans="1:4" ht="15.75">
      <c r="A1499" s="17" t="s">
        <v>31</v>
      </c>
      <c r="B1499" s="81" t="s">
        <v>465</v>
      </c>
      <c r="C1499" s="69">
        <f>3.6*230*12</f>
        <v>9936</v>
      </c>
      <c r="D1499" s="5"/>
    </row>
    <row r="1500" spans="1:4" ht="15.75">
      <c r="A1500" s="8" t="s">
        <v>33</v>
      </c>
      <c r="B1500" s="82" t="s">
        <v>703</v>
      </c>
      <c r="C1500" s="71">
        <f>C1488*0.15</f>
        <v>8375.796</v>
      </c>
      <c r="D1500" s="5"/>
    </row>
    <row r="1501" spans="1:4" ht="15.75">
      <c r="A1501" s="8" t="s">
        <v>34</v>
      </c>
      <c r="B1501" s="79" t="s">
        <v>702</v>
      </c>
      <c r="C1501" s="23">
        <v>20487.6</v>
      </c>
      <c r="D1501" s="5"/>
    </row>
    <row r="1502" spans="1:4" ht="15.75">
      <c r="A1502" s="8"/>
      <c r="B1502" s="83"/>
      <c r="C1502" s="23"/>
      <c r="D1502" s="5"/>
    </row>
    <row r="1503" spans="1:3" ht="18">
      <c r="A1503" s="8"/>
      <c r="B1503" s="73" t="s">
        <v>683</v>
      </c>
      <c r="C1503" s="74">
        <v>25362.31</v>
      </c>
    </row>
    <row r="1504" spans="1:4" ht="18">
      <c r="A1504" s="8"/>
      <c r="B1504" s="73" t="s">
        <v>36</v>
      </c>
      <c r="C1504" s="59">
        <f>C1489-C1494</f>
        <v>763.8240000000078</v>
      </c>
      <c r="D1504" s="75"/>
    </row>
    <row r="1505" spans="1:3" ht="18.75">
      <c r="A1505" s="8"/>
      <c r="B1505" s="76" t="s">
        <v>652</v>
      </c>
      <c r="C1505" s="74">
        <f>SUM(C1503:C1504)</f>
        <v>26126.13400000001</v>
      </c>
    </row>
    <row r="1506" ht="51.75" customHeight="1"/>
    <row r="1507" spans="2:4" ht="15">
      <c r="B1507" s="196" t="s">
        <v>609</v>
      </c>
      <c r="C1507" s="196"/>
      <c r="D1507" s="196"/>
    </row>
    <row r="1508" spans="2:4" ht="15">
      <c r="B1508" s="197" t="s">
        <v>610</v>
      </c>
      <c r="C1508" s="197"/>
      <c r="D1508" s="1"/>
    </row>
    <row r="1509" spans="2:4" ht="18.75">
      <c r="B1509" s="198" t="s">
        <v>466</v>
      </c>
      <c r="C1509" s="198"/>
      <c r="D1509" s="198"/>
    </row>
    <row r="1510" spans="2:4" ht="15.75">
      <c r="B1510" s="199" t="s">
        <v>612</v>
      </c>
      <c r="C1510" s="199"/>
      <c r="D1510" s="199"/>
    </row>
    <row r="1511" spans="2:4" ht="12.75">
      <c r="B1511" s="3"/>
      <c r="C1511" s="4"/>
      <c r="D1511" s="5"/>
    </row>
    <row r="1512" spans="2:4" ht="14.25">
      <c r="B1512" s="6"/>
      <c r="C1512" s="7"/>
      <c r="D1512" s="5"/>
    </row>
    <row r="1513" spans="1:4" ht="15.75">
      <c r="A1513" s="8"/>
      <c r="B1513" s="51" t="s">
        <v>613</v>
      </c>
      <c r="C1513" s="99">
        <v>334.84</v>
      </c>
      <c r="D1513" s="5"/>
    </row>
    <row r="1514" spans="1:4" ht="15">
      <c r="A1514" s="8"/>
      <c r="B1514" s="53" t="s">
        <v>667</v>
      </c>
      <c r="C1514" s="54">
        <v>3.2</v>
      </c>
      <c r="D1514" s="13"/>
    </row>
    <row r="1515" spans="1:4" ht="15">
      <c r="A1515" s="8"/>
      <c r="B1515" s="55" t="s">
        <v>615</v>
      </c>
      <c r="C1515" s="56">
        <v>5.49</v>
      </c>
      <c r="D1515" s="13"/>
    </row>
    <row r="1516" spans="1:4" ht="18.75">
      <c r="A1516" s="8"/>
      <c r="B1516" s="15" t="s">
        <v>616</v>
      </c>
      <c r="C1516" s="57">
        <f>4818.05+8245.14</f>
        <v>13063.189999999999</v>
      </c>
      <c r="D1516" s="13"/>
    </row>
    <row r="1517" spans="1:4" ht="18">
      <c r="A1517" s="17">
        <v>1</v>
      </c>
      <c r="B1517" s="18" t="s">
        <v>668</v>
      </c>
      <c r="C1517" s="21">
        <f>12854.76+22054.08</f>
        <v>34908.840000000004</v>
      </c>
      <c r="D1517" s="5"/>
    </row>
    <row r="1518" spans="1:4" ht="18">
      <c r="A1518" s="17">
        <v>2</v>
      </c>
      <c r="B1518" s="58" t="s">
        <v>669</v>
      </c>
      <c r="C1518" s="59">
        <f>(C1516+C1517)-C1520</f>
        <v>31383.89</v>
      </c>
      <c r="D1518" s="5"/>
    </row>
    <row r="1519" spans="1:4" ht="15">
      <c r="A1519" s="17">
        <v>3</v>
      </c>
      <c r="B1519" s="19" t="s">
        <v>670</v>
      </c>
      <c r="C1519" s="20"/>
      <c r="D1519" s="5"/>
    </row>
    <row r="1520" spans="1:4" ht="18.75">
      <c r="A1520" s="17"/>
      <c r="B1520" s="60" t="s">
        <v>671</v>
      </c>
      <c r="C1520" s="16">
        <f>6115.57+10472.57</f>
        <v>16588.14</v>
      </c>
      <c r="D1520" s="5"/>
    </row>
    <row r="1521" spans="1:4" ht="15">
      <c r="A1521" s="61"/>
      <c r="B1521" s="62"/>
      <c r="C1521" s="63"/>
      <c r="D1521" s="5"/>
    </row>
    <row r="1522" spans="1:4" ht="15">
      <c r="A1522" s="61"/>
      <c r="B1522" s="62"/>
      <c r="C1522" s="63"/>
      <c r="D1522" s="5"/>
    </row>
    <row r="1523" spans="1:4" ht="31.5">
      <c r="A1523" s="17">
        <v>4</v>
      </c>
      <c r="B1523" s="64" t="s">
        <v>625</v>
      </c>
      <c r="C1523" s="27">
        <f>C1524+C1525+C1526+C1527+C1528+C1529</f>
        <v>12226.326000000001</v>
      </c>
      <c r="D1523" s="5"/>
    </row>
    <row r="1524" spans="1:4" ht="26.25">
      <c r="A1524" s="30" t="s">
        <v>672</v>
      </c>
      <c r="B1524" s="31" t="s">
        <v>632</v>
      </c>
      <c r="C1524" s="66">
        <v>1529.14</v>
      </c>
      <c r="D1524" s="5"/>
    </row>
    <row r="1525" spans="1:4" ht="15.75">
      <c r="A1525" s="17" t="s">
        <v>697</v>
      </c>
      <c r="B1525" s="79" t="s">
        <v>463</v>
      </c>
      <c r="C1525" s="23">
        <v>744.93</v>
      </c>
      <c r="D1525" s="5"/>
    </row>
    <row r="1526" spans="1:4" ht="15.75">
      <c r="A1526" s="17" t="s">
        <v>673</v>
      </c>
      <c r="B1526" s="79" t="s">
        <v>699</v>
      </c>
      <c r="C1526" s="23">
        <v>23.93</v>
      </c>
      <c r="D1526" s="5"/>
    </row>
    <row r="1527" spans="1:4" ht="15.75">
      <c r="A1527" s="17" t="s">
        <v>31</v>
      </c>
      <c r="B1527" s="81" t="s">
        <v>10</v>
      </c>
      <c r="C1527" s="69">
        <f>1.7*230*12</f>
        <v>4692</v>
      </c>
      <c r="D1527" s="5"/>
    </row>
    <row r="1528" spans="1:4" ht="15.75">
      <c r="A1528" s="8" t="s">
        <v>33</v>
      </c>
      <c r="B1528" s="82" t="s">
        <v>703</v>
      </c>
      <c r="C1528" s="71">
        <f>C1517*0.15</f>
        <v>5236.326</v>
      </c>
      <c r="D1528" s="5"/>
    </row>
    <row r="1529" spans="1:4" ht="15.75">
      <c r="A1529" s="8" t="s">
        <v>34</v>
      </c>
      <c r="B1529" s="79" t="s">
        <v>702</v>
      </c>
      <c r="C1529" s="23">
        <f>C1530</f>
        <v>0</v>
      </c>
      <c r="D1529" s="5"/>
    </row>
    <row r="1530" spans="1:4" ht="12.75">
      <c r="A1530" s="8"/>
      <c r="B1530" s="129"/>
      <c r="C1530" s="78"/>
      <c r="D1530" s="5"/>
    </row>
    <row r="1531" spans="1:3" ht="18">
      <c r="A1531" s="8"/>
      <c r="B1531" s="73" t="s">
        <v>683</v>
      </c>
      <c r="C1531" s="59">
        <f>-25626.41</f>
        <v>-25626.41</v>
      </c>
    </row>
    <row r="1532" spans="1:4" ht="18">
      <c r="A1532" s="8"/>
      <c r="B1532" s="73" t="s">
        <v>36</v>
      </c>
      <c r="C1532" s="59">
        <f>C1518-C1523</f>
        <v>19157.564</v>
      </c>
      <c r="D1532" s="75"/>
    </row>
    <row r="1533" spans="1:3" ht="18.75">
      <c r="A1533" s="8"/>
      <c r="B1533" s="76" t="s">
        <v>652</v>
      </c>
      <c r="C1533" s="74">
        <f>SUM(C1531:C1532)</f>
        <v>-6468.846000000001</v>
      </c>
    </row>
    <row r="1534" ht="53.25" customHeight="1"/>
    <row r="1535" spans="2:4" ht="15">
      <c r="B1535" s="196" t="s">
        <v>609</v>
      </c>
      <c r="C1535" s="196"/>
      <c r="D1535" s="196"/>
    </row>
    <row r="1536" spans="2:4" ht="15">
      <c r="B1536" s="197" t="s">
        <v>610</v>
      </c>
      <c r="C1536" s="197"/>
      <c r="D1536" s="1"/>
    </row>
    <row r="1537" spans="2:4" ht="18.75">
      <c r="B1537" s="198" t="s">
        <v>467</v>
      </c>
      <c r="C1537" s="198"/>
      <c r="D1537" s="198"/>
    </row>
    <row r="1538" spans="2:4" ht="15.75">
      <c r="B1538" s="199" t="s">
        <v>612</v>
      </c>
      <c r="C1538" s="199"/>
      <c r="D1538" s="199"/>
    </row>
    <row r="1539" spans="2:4" ht="12.75">
      <c r="B1539" s="3"/>
      <c r="C1539" s="4"/>
      <c r="D1539" s="5"/>
    </row>
    <row r="1540" spans="2:4" ht="14.25">
      <c r="B1540" s="6"/>
      <c r="C1540" s="7"/>
      <c r="D1540" s="5"/>
    </row>
    <row r="1541" spans="1:4" ht="15.75">
      <c r="A1541" s="8"/>
      <c r="B1541" s="51" t="s">
        <v>613</v>
      </c>
      <c r="C1541" s="99">
        <v>333.5</v>
      </c>
      <c r="D1541" s="5"/>
    </row>
    <row r="1542" spans="1:4" ht="15">
      <c r="A1542" s="8"/>
      <c r="B1542" s="53" t="s">
        <v>667</v>
      </c>
      <c r="C1542" s="54">
        <v>3.2</v>
      </c>
      <c r="D1542" s="13"/>
    </row>
    <row r="1543" spans="1:4" ht="15">
      <c r="A1543" s="8"/>
      <c r="B1543" s="55" t="s">
        <v>615</v>
      </c>
      <c r="C1543" s="56">
        <v>5.49</v>
      </c>
      <c r="D1543" s="13"/>
    </row>
    <row r="1544" spans="1:4" ht="18.75">
      <c r="A1544" s="8"/>
      <c r="B1544" s="15" t="s">
        <v>616</v>
      </c>
      <c r="C1544" s="57">
        <f>933.84+1599.86</f>
        <v>2533.7</v>
      </c>
      <c r="D1544" s="13"/>
    </row>
    <row r="1545" spans="1:4" ht="18">
      <c r="A1545" s="17">
        <v>1</v>
      </c>
      <c r="B1545" s="18" t="s">
        <v>668</v>
      </c>
      <c r="C1545" s="21">
        <f>12806.4+21971.04</f>
        <v>34777.44</v>
      </c>
      <c r="D1545" s="5"/>
    </row>
    <row r="1546" spans="1:4" ht="18">
      <c r="A1546" s="17">
        <v>2</v>
      </c>
      <c r="B1546" s="58" t="s">
        <v>669</v>
      </c>
      <c r="C1546" s="59">
        <f>(C1544+C1545)-C1548</f>
        <v>30417.97</v>
      </c>
      <c r="D1546" s="5"/>
    </row>
    <row r="1547" spans="1:4" ht="15">
      <c r="A1547" s="17">
        <v>3</v>
      </c>
      <c r="B1547" s="19" t="s">
        <v>670</v>
      </c>
      <c r="C1547" s="20"/>
      <c r="D1547" s="5"/>
    </row>
    <row r="1548" spans="1:4" ht="18.75">
      <c r="A1548" s="17"/>
      <c r="B1548" s="60" t="s">
        <v>671</v>
      </c>
      <c r="C1548" s="16">
        <f>2538.36+4354.81</f>
        <v>6893.17</v>
      </c>
      <c r="D1548" s="5"/>
    </row>
    <row r="1549" spans="1:4" ht="15">
      <c r="A1549" s="61"/>
      <c r="B1549" s="62"/>
      <c r="C1549" s="63"/>
      <c r="D1549" s="5"/>
    </row>
    <row r="1550" spans="1:4" ht="15">
      <c r="A1550" s="61"/>
      <c r="B1550" s="62"/>
      <c r="C1550" s="63"/>
      <c r="D1550" s="5"/>
    </row>
    <row r="1551" spans="1:4" ht="31.5">
      <c r="A1551" s="17">
        <v>4</v>
      </c>
      <c r="B1551" s="64" t="s">
        <v>625</v>
      </c>
      <c r="C1551" s="27">
        <f>C1552+C1553+C1554+C1555+C1556+C1557</f>
        <v>40777.456</v>
      </c>
      <c r="D1551" s="5"/>
    </row>
    <row r="1552" spans="1:4" ht="26.25">
      <c r="A1552" s="30" t="s">
        <v>672</v>
      </c>
      <c r="B1552" s="31" t="s">
        <v>632</v>
      </c>
      <c r="C1552" s="66">
        <v>1151.07</v>
      </c>
      <c r="D1552" s="5"/>
    </row>
    <row r="1553" spans="1:4" ht="15.75">
      <c r="A1553" s="17" t="s">
        <v>697</v>
      </c>
      <c r="B1553" s="79" t="s">
        <v>468</v>
      </c>
      <c r="C1553" s="23">
        <v>1241.55</v>
      </c>
      <c r="D1553" s="5"/>
    </row>
    <row r="1554" spans="1:4" ht="15.75">
      <c r="A1554" s="17" t="s">
        <v>673</v>
      </c>
      <c r="B1554" s="79" t="s">
        <v>699</v>
      </c>
      <c r="C1554" s="23">
        <v>23.93</v>
      </c>
      <c r="D1554" s="5"/>
    </row>
    <row r="1555" spans="1:4" ht="15.75">
      <c r="A1555" s="17" t="s">
        <v>31</v>
      </c>
      <c r="B1555" s="81" t="s">
        <v>469</v>
      </c>
      <c r="C1555" s="69">
        <f>2*230*12</f>
        <v>5520</v>
      </c>
      <c r="D1555" s="5"/>
    </row>
    <row r="1556" spans="1:4" ht="15.75">
      <c r="A1556" s="8" t="s">
        <v>33</v>
      </c>
      <c r="B1556" s="82" t="s">
        <v>703</v>
      </c>
      <c r="C1556" s="71">
        <f>C1545*0.15</f>
        <v>5216.616</v>
      </c>
      <c r="D1556" s="5"/>
    </row>
    <row r="1557" spans="1:4" ht="15.75">
      <c r="A1557" s="8" t="s">
        <v>34</v>
      </c>
      <c r="B1557" s="79" t="s">
        <v>702</v>
      </c>
      <c r="C1557" s="23">
        <v>27624.29</v>
      </c>
      <c r="D1557" s="5"/>
    </row>
    <row r="1558" spans="1:4" ht="12.75">
      <c r="A1558" s="8"/>
      <c r="B1558" s="145"/>
      <c r="C1558" s="78"/>
      <c r="D1558" s="5"/>
    </row>
    <row r="1559" spans="1:3" ht="18">
      <c r="A1559" s="8"/>
      <c r="B1559" s="73" t="s">
        <v>683</v>
      </c>
      <c r="C1559" s="59">
        <v>12187.2</v>
      </c>
    </row>
    <row r="1560" spans="1:4" ht="18">
      <c r="A1560" s="8"/>
      <c r="B1560" s="73" t="s">
        <v>53</v>
      </c>
      <c r="C1560" s="59">
        <f>C1546-C1551</f>
        <v>-10359.485999999997</v>
      </c>
      <c r="D1560" s="75"/>
    </row>
    <row r="1561" spans="1:3" ht="18.75">
      <c r="A1561" s="8"/>
      <c r="B1561" s="76" t="s">
        <v>54</v>
      </c>
      <c r="C1561" s="74">
        <f>SUM(C1559:C1560)</f>
        <v>1827.7140000000036</v>
      </c>
    </row>
    <row r="1562" ht="52.5" customHeight="1"/>
    <row r="1563" spans="2:4" ht="15">
      <c r="B1563" s="196" t="s">
        <v>609</v>
      </c>
      <c r="C1563" s="196"/>
      <c r="D1563" s="196"/>
    </row>
    <row r="1564" spans="2:4" ht="15">
      <c r="B1564" s="197" t="s">
        <v>610</v>
      </c>
      <c r="C1564" s="197"/>
      <c r="D1564" s="1"/>
    </row>
    <row r="1565" spans="2:4" ht="18.75">
      <c r="B1565" s="198" t="s">
        <v>470</v>
      </c>
      <c r="C1565" s="198"/>
      <c r="D1565" s="198"/>
    </row>
    <row r="1566" spans="2:4" ht="15.75">
      <c r="B1566" s="199" t="s">
        <v>612</v>
      </c>
      <c r="C1566" s="199"/>
      <c r="D1566" s="199"/>
    </row>
    <row r="1567" spans="2:4" ht="12.75">
      <c r="B1567" s="3"/>
      <c r="C1567" s="4"/>
      <c r="D1567" s="5"/>
    </row>
    <row r="1568" spans="2:4" ht="14.25">
      <c r="B1568" s="6"/>
      <c r="C1568" s="7"/>
      <c r="D1568" s="5"/>
    </row>
    <row r="1569" spans="1:4" ht="15.75">
      <c r="A1569" s="8"/>
      <c r="B1569" s="51" t="s">
        <v>613</v>
      </c>
      <c r="C1569" s="99">
        <v>448.61</v>
      </c>
      <c r="D1569" s="5"/>
    </row>
    <row r="1570" spans="1:4" ht="15">
      <c r="A1570" s="8"/>
      <c r="B1570" s="53" t="s">
        <v>667</v>
      </c>
      <c r="C1570" s="54">
        <v>3.2</v>
      </c>
      <c r="D1570" s="13"/>
    </row>
    <row r="1571" spans="1:4" ht="15">
      <c r="A1571" s="8"/>
      <c r="B1571" s="55" t="s">
        <v>615</v>
      </c>
      <c r="C1571" s="56">
        <v>5.49</v>
      </c>
      <c r="D1571" s="13"/>
    </row>
    <row r="1572" spans="1:4" ht="18.75">
      <c r="A1572" s="8"/>
      <c r="B1572" s="15" t="s">
        <v>616</v>
      </c>
      <c r="C1572" s="57">
        <f>478.38+819.59</f>
        <v>1297.97</v>
      </c>
      <c r="D1572" s="13"/>
    </row>
    <row r="1573" spans="1:4" ht="18">
      <c r="A1573" s="17">
        <v>1</v>
      </c>
      <c r="B1573" s="18" t="s">
        <v>668</v>
      </c>
      <c r="C1573" s="21">
        <f>17226.6+29554.33</f>
        <v>46780.93</v>
      </c>
      <c r="D1573" s="5"/>
    </row>
    <row r="1574" spans="1:4" ht="18">
      <c r="A1574" s="17">
        <v>2</v>
      </c>
      <c r="B1574" s="58" t="s">
        <v>669</v>
      </c>
      <c r="C1574" s="59">
        <f>(C1572+C1573)-C1576</f>
        <v>45304.98</v>
      </c>
      <c r="D1574" s="5"/>
    </row>
    <row r="1575" spans="1:4" ht="15">
      <c r="A1575" s="17">
        <v>3</v>
      </c>
      <c r="B1575" s="19" t="s">
        <v>670</v>
      </c>
      <c r="C1575" s="20"/>
      <c r="D1575" s="5"/>
    </row>
    <row r="1576" spans="1:4" ht="18.75">
      <c r="A1576" s="17"/>
      <c r="B1576" s="60" t="s">
        <v>671</v>
      </c>
      <c r="C1576" s="16">
        <f>1021.47+1752.45</f>
        <v>2773.92</v>
      </c>
      <c r="D1576" s="5"/>
    </row>
    <row r="1577" spans="1:4" ht="15">
      <c r="A1577" s="61"/>
      <c r="B1577" s="62"/>
      <c r="C1577" s="63"/>
      <c r="D1577" s="5"/>
    </row>
    <row r="1578" spans="1:4" ht="15">
      <c r="A1578" s="61"/>
      <c r="B1578" s="62"/>
      <c r="C1578" s="63"/>
      <c r="D1578" s="5"/>
    </row>
    <row r="1579" spans="1:4" ht="31.5">
      <c r="A1579" s="17">
        <v>4</v>
      </c>
      <c r="B1579" s="64" t="s">
        <v>625</v>
      </c>
      <c r="C1579" s="65">
        <f>C1580+C1581+C1582+C1583+C1584+C1585</f>
        <v>27066.7895</v>
      </c>
      <c r="D1579" s="5"/>
    </row>
    <row r="1580" spans="1:4" ht="26.25">
      <c r="A1580" s="30" t="s">
        <v>672</v>
      </c>
      <c r="B1580" s="31" t="s">
        <v>632</v>
      </c>
      <c r="C1580" s="66">
        <v>2289.17</v>
      </c>
      <c r="D1580" s="5"/>
    </row>
    <row r="1581" spans="1:4" ht="15.75">
      <c r="A1581" s="17" t="s">
        <v>697</v>
      </c>
      <c r="B1581" s="79" t="s">
        <v>823</v>
      </c>
      <c r="C1581" s="23">
        <v>803.52</v>
      </c>
      <c r="D1581" s="5"/>
    </row>
    <row r="1582" spans="1:4" ht="15.75">
      <c r="A1582" s="17" t="s">
        <v>673</v>
      </c>
      <c r="B1582" s="79" t="s">
        <v>699</v>
      </c>
      <c r="C1582" s="23">
        <v>63.15</v>
      </c>
      <c r="D1582" s="5"/>
    </row>
    <row r="1583" spans="1:4" ht="15.75">
      <c r="A1583" s="17" t="s">
        <v>31</v>
      </c>
      <c r="B1583" s="81" t="s">
        <v>471</v>
      </c>
      <c r="C1583" s="69">
        <f>1.9*230*12</f>
        <v>5244</v>
      </c>
      <c r="D1583" s="5"/>
    </row>
    <row r="1584" spans="1:4" ht="15.75">
      <c r="A1584" s="8" t="s">
        <v>33</v>
      </c>
      <c r="B1584" s="82" t="s">
        <v>703</v>
      </c>
      <c r="C1584" s="71">
        <f>C1573*0.15</f>
        <v>7017.1395</v>
      </c>
      <c r="D1584" s="5"/>
    </row>
    <row r="1585" spans="1:4" ht="15.75">
      <c r="A1585" s="8" t="s">
        <v>34</v>
      </c>
      <c r="B1585" s="79" t="s">
        <v>702</v>
      </c>
      <c r="C1585" s="23">
        <v>11649.81</v>
      </c>
      <c r="D1585" s="5"/>
    </row>
    <row r="1586" spans="1:4" ht="15.75">
      <c r="A1586" s="8"/>
      <c r="B1586" s="83"/>
      <c r="C1586" s="23"/>
      <c r="D1586" s="5"/>
    </row>
    <row r="1587" spans="1:3" ht="18">
      <c r="A1587" s="8"/>
      <c r="B1587" s="73" t="s">
        <v>683</v>
      </c>
      <c r="C1587" s="74">
        <v>76453.12</v>
      </c>
    </row>
    <row r="1588" spans="1:4" ht="18">
      <c r="A1588" s="8"/>
      <c r="B1588" s="73" t="s">
        <v>36</v>
      </c>
      <c r="C1588" s="59">
        <f>C1574-C1579</f>
        <v>18238.190500000004</v>
      </c>
      <c r="D1588" s="75"/>
    </row>
    <row r="1589" spans="1:3" ht="18.75">
      <c r="A1589" s="8"/>
      <c r="B1589" s="76" t="s">
        <v>652</v>
      </c>
      <c r="C1589" s="74">
        <f>SUM(C1587:C1588)</f>
        <v>94691.31049999999</v>
      </c>
    </row>
    <row r="1590" ht="52.5" customHeight="1"/>
    <row r="1591" spans="2:4" ht="15">
      <c r="B1591" s="196" t="s">
        <v>609</v>
      </c>
      <c r="C1591" s="196"/>
      <c r="D1591" s="196"/>
    </row>
    <row r="1592" spans="2:4" ht="15">
      <c r="B1592" s="197" t="s">
        <v>610</v>
      </c>
      <c r="C1592" s="197"/>
      <c r="D1592" s="1"/>
    </row>
    <row r="1593" spans="2:4" ht="18.75">
      <c r="B1593" s="198" t="s">
        <v>472</v>
      </c>
      <c r="C1593" s="198"/>
      <c r="D1593" s="198"/>
    </row>
    <row r="1594" spans="2:4" ht="15.75">
      <c r="B1594" s="199" t="s">
        <v>612</v>
      </c>
      <c r="C1594" s="199"/>
      <c r="D1594" s="199"/>
    </row>
    <row r="1595" spans="2:4" ht="12.75">
      <c r="B1595" s="3"/>
      <c r="C1595" s="4"/>
      <c r="D1595" s="5"/>
    </row>
    <row r="1596" spans="2:4" ht="14.25">
      <c r="B1596" s="6"/>
      <c r="C1596" s="7"/>
      <c r="D1596" s="5"/>
    </row>
    <row r="1597" spans="1:4" ht="15.75">
      <c r="A1597" s="8"/>
      <c r="B1597" s="51" t="s">
        <v>613</v>
      </c>
      <c r="C1597" s="99">
        <v>288.78</v>
      </c>
      <c r="D1597" s="5"/>
    </row>
    <row r="1598" spans="1:4" ht="15">
      <c r="A1598" s="8"/>
      <c r="B1598" s="53" t="s">
        <v>667</v>
      </c>
      <c r="C1598" s="54">
        <v>3.2</v>
      </c>
      <c r="D1598" s="13"/>
    </row>
    <row r="1599" spans="1:4" ht="15">
      <c r="A1599" s="8"/>
      <c r="B1599" s="55" t="s">
        <v>615</v>
      </c>
      <c r="C1599" s="56">
        <v>5.49</v>
      </c>
      <c r="D1599" s="13"/>
    </row>
    <row r="1600" spans="1:4" ht="18.75">
      <c r="A1600" s="8"/>
      <c r="B1600" s="15" t="s">
        <v>616</v>
      </c>
      <c r="C1600" s="57">
        <f>574.47+984.17</f>
        <v>1558.6399999999999</v>
      </c>
      <c r="D1600" s="13"/>
    </row>
    <row r="1601" spans="1:4" ht="18">
      <c r="A1601" s="17">
        <v>1</v>
      </c>
      <c r="B1601" s="18" t="s">
        <v>668</v>
      </c>
      <c r="C1601" s="21">
        <f>11089.08+19025.04</f>
        <v>30114.120000000003</v>
      </c>
      <c r="D1601" s="5"/>
    </row>
    <row r="1602" spans="1:4" ht="18">
      <c r="A1602" s="17">
        <v>2</v>
      </c>
      <c r="B1602" s="58" t="s">
        <v>669</v>
      </c>
      <c r="C1602" s="59">
        <f>(C1600+C1601)-C1604</f>
        <v>25279.530000000002</v>
      </c>
      <c r="D1602" s="5"/>
    </row>
    <row r="1603" spans="1:4" ht="15">
      <c r="A1603" s="17">
        <v>3</v>
      </c>
      <c r="B1603" s="19" t="s">
        <v>670</v>
      </c>
      <c r="C1603" s="20"/>
      <c r="D1603" s="5"/>
    </row>
    <row r="1604" spans="1:4" ht="18.75">
      <c r="A1604" s="17"/>
      <c r="B1604" s="60" t="s">
        <v>671</v>
      </c>
      <c r="C1604" s="16">
        <f>2354.26+4038.97</f>
        <v>6393.23</v>
      </c>
      <c r="D1604" s="5"/>
    </row>
    <row r="1605" spans="1:4" ht="15">
      <c r="A1605" s="61"/>
      <c r="B1605" s="62"/>
      <c r="C1605" s="63"/>
      <c r="D1605" s="5"/>
    </row>
    <row r="1606" spans="1:4" ht="15">
      <c r="A1606" s="61"/>
      <c r="B1606" s="62"/>
      <c r="C1606" s="63"/>
      <c r="D1606" s="5"/>
    </row>
    <row r="1607" spans="1:4" ht="31.5">
      <c r="A1607" s="17">
        <v>4</v>
      </c>
      <c r="B1607" s="64" t="s">
        <v>625</v>
      </c>
      <c r="C1607" s="27">
        <f>C1608+C1609+C1610+C1611+C1612+C1613</f>
        <v>34940.648</v>
      </c>
      <c r="D1607" s="5"/>
    </row>
    <row r="1608" spans="1:4" ht="26.25">
      <c r="A1608" s="30" t="s">
        <v>672</v>
      </c>
      <c r="B1608" s="31" t="s">
        <v>632</v>
      </c>
      <c r="C1608" s="66">
        <v>2416.65</v>
      </c>
      <c r="D1608" s="5"/>
    </row>
    <row r="1609" spans="1:4" ht="28.5">
      <c r="A1609" s="17" t="s">
        <v>697</v>
      </c>
      <c r="B1609" s="80" t="s">
        <v>473</v>
      </c>
      <c r="C1609" s="23">
        <v>567.91</v>
      </c>
      <c r="D1609" s="5"/>
    </row>
    <row r="1610" spans="1:4" ht="15.75">
      <c r="A1610" s="17" t="s">
        <v>673</v>
      </c>
      <c r="B1610" s="79" t="s">
        <v>699</v>
      </c>
      <c r="C1610" s="23">
        <v>26.34</v>
      </c>
      <c r="D1610" s="5"/>
    </row>
    <row r="1611" spans="1:4" ht="15.75">
      <c r="A1611" s="17" t="s">
        <v>31</v>
      </c>
      <c r="B1611" s="81" t="s">
        <v>471</v>
      </c>
      <c r="C1611" s="69">
        <f>1.9*230*12</f>
        <v>5244</v>
      </c>
      <c r="D1611" s="5"/>
    </row>
    <row r="1612" spans="1:4" ht="15.75">
      <c r="A1612" s="8" t="s">
        <v>33</v>
      </c>
      <c r="B1612" s="82" t="s">
        <v>703</v>
      </c>
      <c r="C1612" s="71">
        <f>C1601*0.15</f>
        <v>4517.118</v>
      </c>
      <c r="D1612" s="5"/>
    </row>
    <row r="1613" spans="1:4" ht="15.75">
      <c r="A1613" s="8" t="s">
        <v>34</v>
      </c>
      <c r="B1613" s="79" t="s">
        <v>702</v>
      </c>
      <c r="C1613" s="23">
        <v>22168.63</v>
      </c>
      <c r="D1613" s="5"/>
    </row>
    <row r="1614" spans="1:4" ht="12.75">
      <c r="A1614" s="8"/>
      <c r="B1614" s="40"/>
      <c r="C1614" s="41"/>
      <c r="D1614" s="5"/>
    </row>
    <row r="1615" spans="1:3" ht="18">
      <c r="A1615" s="8"/>
      <c r="B1615" s="73" t="s">
        <v>683</v>
      </c>
      <c r="C1615" s="74">
        <v>2605.27</v>
      </c>
    </row>
    <row r="1616" spans="1:4" ht="18">
      <c r="A1616" s="8"/>
      <c r="B1616" s="73" t="s">
        <v>36</v>
      </c>
      <c r="C1616" s="59">
        <f>C1602-C1607</f>
        <v>-9661.117999999999</v>
      </c>
      <c r="D1616" s="75"/>
    </row>
    <row r="1617" spans="1:3" ht="18.75">
      <c r="A1617" s="8"/>
      <c r="B1617" s="76" t="s">
        <v>652</v>
      </c>
      <c r="C1617" s="74">
        <f>SUM(C1615:C1616)</f>
        <v>-7055.847999999998</v>
      </c>
    </row>
    <row r="1618" ht="51.75" customHeight="1"/>
    <row r="1619" spans="2:4" ht="15">
      <c r="B1619" s="196" t="s">
        <v>609</v>
      </c>
      <c r="C1619" s="196"/>
      <c r="D1619" s="196"/>
    </row>
    <row r="1620" spans="2:4" ht="15">
      <c r="B1620" s="197" t="s">
        <v>704</v>
      </c>
      <c r="C1620" s="197"/>
      <c r="D1620" s="1"/>
    </row>
    <row r="1621" spans="2:4" ht="18.75">
      <c r="B1621" s="198" t="s">
        <v>474</v>
      </c>
      <c r="C1621" s="198"/>
      <c r="D1621" s="198"/>
    </row>
    <row r="1622" spans="2:4" ht="15.75">
      <c r="B1622" s="199" t="s">
        <v>411</v>
      </c>
      <c r="C1622" s="199"/>
      <c r="D1622" s="199"/>
    </row>
    <row r="1623" spans="2:4" ht="15.75">
      <c r="B1623" s="2"/>
      <c r="C1623" s="2"/>
      <c r="D1623" s="2"/>
    </row>
    <row r="1624" spans="1:4" ht="14.25">
      <c r="A1624" s="8"/>
      <c r="B1624" s="155" t="s">
        <v>613</v>
      </c>
      <c r="C1624" s="156">
        <v>213.5</v>
      </c>
      <c r="D1624" s="5"/>
    </row>
    <row r="1625" spans="1:4" ht="12.75">
      <c r="A1625" s="8"/>
      <c r="B1625" s="11" t="s">
        <v>614</v>
      </c>
      <c r="C1625" s="12">
        <v>5.33</v>
      </c>
      <c r="D1625" s="13"/>
    </row>
    <row r="1626" spans="1:4" ht="12.75">
      <c r="A1626" s="8"/>
      <c r="B1626" s="14" t="s">
        <v>615</v>
      </c>
      <c r="C1626" s="12">
        <v>9.16</v>
      </c>
      <c r="D1626" s="13"/>
    </row>
    <row r="1627" spans="1:4" ht="18.75">
      <c r="A1627" s="17"/>
      <c r="B1627" s="15" t="s">
        <v>616</v>
      </c>
      <c r="C1627" s="16">
        <f>6053.02+10278.43+20014.84+10393.68</f>
        <v>46739.97</v>
      </c>
      <c r="D1627" s="5"/>
    </row>
    <row r="1628" spans="1:4" ht="18.75">
      <c r="A1628" s="17" t="s">
        <v>412</v>
      </c>
      <c r="B1628" s="18" t="s">
        <v>617</v>
      </c>
      <c r="C1628" s="16">
        <f>C1629+C1630</f>
        <v>65380.979999999996</v>
      </c>
      <c r="D1628" s="5"/>
    </row>
    <row r="1629" spans="1:4" ht="15">
      <c r="A1629" s="17" t="s">
        <v>706</v>
      </c>
      <c r="B1629" s="19" t="s">
        <v>413</v>
      </c>
      <c r="C1629" s="20">
        <f>13655.4+23467.92</f>
        <v>37123.32</v>
      </c>
      <c r="D1629" s="5"/>
    </row>
    <row r="1630" spans="1:4" ht="15">
      <c r="A1630" s="17" t="s">
        <v>708</v>
      </c>
      <c r="B1630" s="19" t="s">
        <v>709</v>
      </c>
      <c r="C1630" s="20">
        <f>9984+18273.66</f>
        <v>28257.66</v>
      </c>
      <c r="D1630" s="5"/>
    </row>
    <row r="1631" spans="1:4" ht="18">
      <c r="A1631" s="17" t="s">
        <v>414</v>
      </c>
      <c r="B1631" s="18" t="s">
        <v>620</v>
      </c>
      <c r="C1631" s="21">
        <f>C1632+C1633</f>
        <v>66434.27</v>
      </c>
      <c r="D1631" s="5"/>
    </row>
    <row r="1632" spans="1:4" ht="15.75">
      <c r="A1632" s="17" t="s">
        <v>621</v>
      </c>
      <c r="B1632" s="157" t="s">
        <v>433</v>
      </c>
      <c r="C1632" s="23">
        <f>13300.87+22854.93</f>
        <v>36155.8</v>
      </c>
      <c r="D1632" s="5"/>
    </row>
    <row r="1633" spans="1:4" ht="15.75">
      <c r="A1633" s="17" t="s">
        <v>623</v>
      </c>
      <c r="B1633" s="157" t="s">
        <v>416</v>
      </c>
      <c r="C1633" s="23">
        <f>10534.81+19743.66</f>
        <v>30278.47</v>
      </c>
      <c r="D1633" s="5"/>
    </row>
    <row r="1634" spans="1:4" ht="36">
      <c r="A1634" s="17">
        <v>3</v>
      </c>
      <c r="B1634" s="24" t="s">
        <v>625</v>
      </c>
      <c r="C1634" s="85">
        <f>C1635+C1637</f>
        <v>51709.068</v>
      </c>
      <c r="D1634" s="5"/>
    </row>
    <row r="1635" spans="1:4" ht="18.75">
      <c r="A1635" s="17" t="s">
        <v>417</v>
      </c>
      <c r="B1635" s="87" t="s">
        <v>626</v>
      </c>
      <c r="C1635" s="27">
        <f>C1636</f>
        <v>22488.34</v>
      </c>
      <c r="D1635" s="5"/>
    </row>
    <row r="1636" spans="1:4" ht="15.75">
      <c r="A1636" s="17" t="s">
        <v>419</v>
      </c>
      <c r="B1636" s="87" t="s">
        <v>713</v>
      </c>
      <c r="C1636" s="88">
        <f>382*58.87</f>
        <v>22488.34</v>
      </c>
      <c r="D1636" s="5"/>
    </row>
    <row r="1637" spans="1:4" ht="18.75">
      <c r="A1637" s="17" t="s">
        <v>421</v>
      </c>
      <c r="B1637" s="87" t="s">
        <v>630</v>
      </c>
      <c r="C1637" s="27">
        <f>C1638+C1639+C1640+C1641+C1642+C1643+C1644</f>
        <v>29220.728</v>
      </c>
      <c r="D1637" s="5"/>
    </row>
    <row r="1638" spans="1:4" ht="25.5">
      <c r="A1638" s="30" t="s">
        <v>423</v>
      </c>
      <c r="B1638" s="104" t="s">
        <v>424</v>
      </c>
      <c r="C1638" s="32">
        <v>11495.13</v>
      </c>
      <c r="D1638" s="5"/>
    </row>
    <row r="1639" spans="1:4" ht="12.75">
      <c r="A1639" s="17" t="s">
        <v>631</v>
      </c>
      <c r="B1639" s="159" t="s">
        <v>425</v>
      </c>
      <c r="C1639" s="34">
        <v>19.82</v>
      </c>
      <c r="D1639" s="5"/>
    </row>
    <row r="1640" spans="1:4" ht="12.75">
      <c r="A1640" s="17" t="s">
        <v>633</v>
      </c>
      <c r="B1640" s="160" t="s">
        <v>475</v>
      </c>
      <c r="C1640" s="34">
        <v>567.9</v>
      </c>
      <c r="D1640" s="5"/>
    </row>
    <row r="1641" spans="1:4" ht="12.75">
      <c r="A1641" s="17" t="s">
        <v>635</v>
      </c>
      <c r="B1641" s="160" t="s">
        <v>427</v>
      </c>
      <c r="C1641" s="34">
        <v>117.18</v>
      </c>
      <c r="D1641" s="5"/>
    </row>
    <row r="1642" spans="1:4" ht="12.75">
      <c r="A1642" s="30" t="s">
        <v>637</v>
      </c>
      <c r="B1642" s="159" t="s">
        <v>476</v>
      </c>
      <c r="C1642" s="34">
        <f>0.5*230*12</f>
        <v>1380</v>
      </c>
      <c r="D1642" s="5"/>
    </row>
    <row r="1643" spans="1:4" ht="12.75">
      <c r="A1643" s="30" t="s">
        <v>639</v>
      </c>
      <c r="B1643" s="159" t="s">
        <v>429</v>
      </c>
      <c r="C1643" s="34">
        <f>C1629*0.15</f>
        <v>5568.498</v>
      </c>
      <c r="D1643" s="5"/>
    </row>
    <row r="1644" spans="1:4" ht="12.75">
      <c r="A1644" s="8" t="s">
        <v>641</v>
      </c>
      <c r="B1644" s="159" t="s">
        <v>436</v>
      </c>
      <c r="C1644" s="34">
        <v>10072.2</v>
      </c>
      <c r="D1644" s="5"/>
    </row>
    <row r="1645" spans="1:4" ht="12.75">
      <c r="A1645" s="8"/>
      <c r="B1645" s="37"/>
      <c r="C1645" s="167"/>
      <c r="D1645" s="5"/>
    </row>
    <row r="1646" spans="1:4" ht="30">
      <c r="A1646" s="8"/>
      <c r="B1646" s="45" t="s">
        <v>437</v>
      </c>
      <c r="C1646" s="46">
        <f>C1631-C1634</f>
        <v>14725.202000000005</v>
      </c>
      <c r="D1646" s="5"/>
    </row>
    <row r="1647" spans="1:4" ht="15.75">
      <c r="A1647" s="8"/>
      <c r="B1647" s="45" t="s">
        <v>651</v>
      </c>
      <c r="C1647" s="46">
        <v>-29712.39</v>
      </c>
      <c r="D1647" s="5"/>
    </row>
    <row r="1648" spans="1:4" ht="15.75">
      <c r="A1648" s="8"/>
      <c r="B1648" s="45" t="s">
        <v>652</v>
      </c>
      <c r="C1648" s="46">
        <f>C1646+C1647</f>
        <v>-14987.187999999995</v>
      </c>
      <c r="D1648" s="5"/>
    </row>
    <row r="1649" spans="1:4" ht="15.75">
      <c r="A1649" s="8"/>
      <c r="B1649" s="45"/>
      <c r="C1649" s="46"/>
      <c r="D1649" s="5"/>
    </row>
    <row r="1650" spans="1:4" ht="15.75">
      <c r="A1650" s="8"/>
      <c r="B1650" s="45" t="s">
        <v>653</v>
      </c>
      <c r="C1650" s="46">
        <f>C1631-(C1627+C1628)</f>
        <v>-45686.67999999999</v>
      </c>
      <c r="D1650" s="5"/>
    </row>
    <row r="1651" spans="1:4" ht="15.75">
      <c r="A1651" s="8"/>
      <c r="B1651" s="45" t="s">
        <v>654</v>
      </c>
      <c r="C1651" s="46">
        <v>-17414.22</v>
      </c>
      <c r="D1651" s="5"/>
    </row>
    <row r="1652" spans="1:4" ht="15.75">
      <c r="A1652" s="8"/>
      <c r="B1652" s="45" t="s">
        <v>726</v>
      </c>
      <c r="C1652" s="46">
        <v>-28272.46</v>
      </c>
      <c r="D1652" s="5"/>
    </row>
    <row r="1653" ht="50.25" customHeight="1"/>
    <row r="1654" spans="2:4" ht="15">
      <c r="B1654" s="196" t="s">
        <v>609</v>
      </c>
      <c r="C1654" s="196"/>
      <c r="D1654" s="196"/>
    </row>
    <row r="1655" spans="2:4" ht="15">
      <c r="B1655" s="197" t="s">
        <v>704</v>
      </c>
      <c r="C1655" s="197"/>
      <c r="D1655" s="1"/>
    </row>
    <row r="1656" spans="2:4" ht="18.75">
      <c r="B1656" s="198" t="s">
        <v>477</v>
      </c>
      <c r="C1656" s="198"/>
      <c r="D1656" s="198"/>
    </row>
    <row r="1657" spans="2:4" ht="15.75">
      <c r="B1657" s="199" t="s">
        <v>411</v>
      </c>
      <c r="C1657" s="199"/>
      <c r="D1657" s="199"/>
    </row>
    <row r="1658" spans="2:4" ht="15.75">
      <c r="B1658" s="2"/>
      <c r="C1658" s="2"/>
      <c r="D1658" s="2"/>
    </row>
    <row r="1659" spans="1:4" ht="14.25">
      <c r="A1659" s="8"/>
      <c r="B1659" s="155" t="s">
        <v>613</v>
      </c>
      <c r="C1659" s="156">
        <v>307.94</v>
      </c>
      <c r="D1659" s="5"/>
    </row>
    <row r="1660" spans="1:4" ht="12.75">
      <c r="A1660" s="8"/>
      <c r="B1660" s="11" t="s">
        <v>614</v>
      </c>
      <c r="C1660" s="12">
        <v>4.28</v>
      </c>
      <c r="D1660" s="13"/>
    </row>
    <row r="1661" spans="1:4" ht="12.75">
      <c r="A1661" s="8"/>
      <c r="B1661" s="14" t="s">
        <v>615</v>
      </c>
      <c r="C1661" s="12">
        <v>7.34</v>
      </c>
      <c r="D1661" s="13"/>
    </row>
    <row r="1662" spans="1:4" ht="18.75">
      <c r="A1662" s="17"/>
      <c r="B1662" s="15" t="s">
        <v>616</v>
      </c>
      <c r="C1662" s="16">
        <f>3071.37+1493.97+2855.59+5262.82</f>
        <v>12683.75</v>
      </c>
      <c r="D1662" s="5"/>
    </row>
    <row r="1663" spans="1:4" ht="18.75">
      <c r="A1663" s="17" t="s">
        <v>412</v>
      </c>
      <c r="B1663" s="18" t="s">
        <v>617</v>
      </c>
      <c r="C1663" s="16">
        <f>C1664+C1665</f>
        <v>58725.75</v>
      </c>
      <c r="D1663" s="5"/>
    </row>
    <row r="1664" spans="1:4" ht="15">
      <c r="A1664" s="17" t="s">
        <v>706</v>
      </c>
      <c r="B1664" s="19" t="s">
        <v>413</v>
      </c>
      <c r="C1664" s="20">
        <f>15812.04+27119.04</f>
        <v>42931.08</v>
      </c>
      <c r="D1664" s="5"/>
    </row>
    <row r="1665" spans="1:4" ht="15">
      <c r="A1665" s="17" t="s">
        <v>708</v>
      </c>
      <c r="B1665" s="19" t="s">
        <v>709</v>
      </c>
      <c r="C1665" s="20">
        <f>5591.81+10202.86</f>
        <v>15794.670000000002</v>
      </c>
      <c r="D1665" s="5"/>
    </row>
    <row r="1666" spans="1:4" ht="18">
      <c r="A1666" s="17" t="s">
        <v>414</v>
      </c>
      <c r="B1666" s="18" t="s">
        <v>620</v>
      </c>
      <c r="C1666" s="21">
        <f>C1667+C1668</f>
        <v>49324.96</v>
      </c>
      <c r="D1666" s="5"/>
    </row>
    <row r="1667" spans="1:4" ht="15.75">
      <c r="A1667" s="17" t="s">
        <v>621</v>
      </c>
      <c r="B1667" s="157" t="s">
        <v>433</v>
      </c>
      <c r="C1667" s="23">
        <f>12782.67+21919.48</f>
        <v>34702.15</v>
      </c>
      <c r="D1667" s="5"/>
    </row>
    <row r="1668" spans="1:4" ht="15.75">
      <c r="A1668" s="17" t="s">
        <v>623</v>
      </c>
      <c r="B1668" s="157" t="s">
        <v>416</v>
      </c>
      <c r="C1668" s="23">
        <f>5150.32+9472.49</f>
        <v>14622.81</v>
      </c>
      <c r="D1668" s="5"/>
    </row>
    <row r="1669" spans="1:4" ht="36">
      <c r="A1669" s="17">
        <v>3</v>
      </c>
      <c r="B1669" s="24" t="s">
        <v>625</v>
      </c>
      <c r="C1669" s="85">
        <f>C1670+C1672</f>
        <v>65231.152</v>
      </c>
      <c r="D1669" s="5"/>
    </row>
    <row r="1670" spans="1:4" ht="18.75">
      <c r="A1670" s="17" t="s">
        <v>417</v>
      </c>
      <c r="B1670" s="87" t="s">
        <v>626</v>
      </c>
      <c r="C1670" s="27">
        <f>C1671</f>
        <v>21487.55</v>
      </c>
      <c r="D1670" s="5"/>
    </row>
    <row r="1671" spans="1:4" ht="15.75">
      <c r="A1671" s="17" t="s">
        <v>419</v>
      </c>
      <c r="B1671" s="87" t="s">
        <v>713</v>
      </c>
      <c r="C1671" s="88">
        <f>365*58.87</f>
        <v>21487.55</v>
      </c>
      <c r="D1671" s="5"/>
    </row>
    <row r="1672" spans="1:4" ht="18.75">
      <c r="A1672" s="17" t="s">
        <v>421</v>
      </c>
      <c r="B1672" s="87" t="s">
        <v>630</v>
      </c>
      <c r="C1672" s="27">
        <f>C1673+C1674+C1675+C1676+C1677+C1678</f>
        <v>43743.602</v>
      </c>
      <c r="D1672" s="5"/>
    </row>
    <row r="1673" spans="1:4" ht="25.5">
      <c r="A1673" s="30" t="s">
        <v>423</v>
      </c>
      <c r="B1673" s="104" t="s">
        <v>424</v>
      </c>
      <c r="C1673" s="32">
        <v>14955.24</v>
      </c>
      <c r="D1673" s="5"/>
    </row>
    <row r="1674" spans="1:4" ht="12.75">
      <c r="A1674" s="17" t="s">
        <v>631</v>
      </c>
      <c r="B1674" s="159" t="s">
        <v>425</v>
      </c>
      <c r="C1674" s="34">
        <v>26.05</v>
      </c>
      <c r="D1674" s="5"/>
    </row>
    <row r="1675" spans="1:4" ht="12.75">
      <c r="A1675" s="17" t="s">
        <v>633</v>
      </c>
      <c r="B1675" s="160" t="s">
        <v>475</v>
      </c>
      <c r="C1675" s="34">
        <v>405.51</v>
      </c>
      <c r="D1675" s="5"/>
    </row>
    <row r="1676" spans="1:4" ht="12.75">
      <c r="A1676" s="30" t="s">
        <v>637</v>
      </c>
      <c r="B1676" s="159" t="s">
        <v>460</v>
      </c>
      <c r="C1676" s="34">
        <f>2.4*230*12</f>
        <v>6624</v>
      </c>
      <c r="D1676" s="5"/>
    </row>
    <row r="1677" spans="1:4" ht="12.75">
      <c r="A1677" s="30" t="s">
        <v>639</v>
      </c>
      <c r="B1677" s="159" t="s">
        <v>429</v>
      </c>
      <c r="C1677" s="34">
        <f>C1664*0.15</f>
        <v>6439.662</v>
      </c>
      <c r="D1677" s="5"/>
    </row>
    <row r="1678" spans="1:4" ht="12.75">
      <c r="A1678" s="8" t="s">
        <v>641</v>
      </c>
      <c r="B1678" s="159" t="s">
        <v>436</v>
      </c>
      <c r="C1678" s="34">
        <v>15293.14</v>
      </c>
      <c r="D1678" s="5"/>
    </row>
    <row r="1679" spans="1:4" ht="12.75">
      <c r="A1679" s="8"/>
      <c r="B1679" s="37"/>
      <c r="C1679" s="167"/>
      <c r="D1679" s="5"/>
    </row>
    <row r="1680" spans="1:4" ht="30">
      <c r="A1680" s="8"/>
      <c r="B1680" s="45" t="s">
        <v>478</v>
      </c>
      <c r="C1680" s="46">
        <f>C1666-C1669</f>
        <v>-15906.192000000003</v>
      </c>
      <c r="D1680" s="5"/>
    </row>
    <row r="1681" spans="1:4" ht="15.75">
      <c r="A1681" s="8"/>
      <c r="B1681" s="45" t="s">
        <v>479</v>
      </c>
      <c r="C1681" s="46">
        <v>-17946.44</v>
      </c>
      <c r="D1681" s="5"/>
    </row>
    <row r="1682" spans="1:4" ht="15.75">
      <c r="A1682" s="8"/>
      <c r="B1682" s="45" t="s">
        <v>652</v>
      </c>
      <c r="C1682" s="46">
        <f>C1680+C1681</f>
        <v>-33852.632</v>
      </c>
      <c r="D1682" s="5"/>
    </row>
    <row r="1683" spans="1:4" ht="15.75">
      <c r="A1683" s="8"/>
      <c r="B1683" s="45"/>
      <c r="C1683" s="46"/>
      <c r="D1683" s="5"/>
    </row>
    <row r="1684" spans="1:4" ht="15.75">
      <c r="A1684" s="8"/>
      <c r="B1684" s="45" t="s">
        <v>653</v>
      </c>
      <c r="C1684" s="46">
        <f>C1666-(C1662+C1663)</f>
        <v>-22084.54</v>
      </c>
      <c r="D1684" s="5"/>
    </row>
    <row r="1685" spans="1:4" ht="15.75">
      <c r="A1685" s="8"/>
      <c r="B1685" s="45" t="s">
        <v>654</v>
      </c>
      <c r="C1685" s="46">
        <v>-16563.12</v>
      </c>
      <c r="D1685" s="5"/>
    </row>
    <row r="1686" spans="1:4" ht="15.75">
      <c r="A1686" s="8"/>
      <c r="B1686" s="45" t="s">
        <v>726</v>
      </c>
      <c r="C1686" s="46">
        <v>-5521.42</v>
      </c>
      <c r="D1686" s="5"/>
    </row>
    <row r="1687" spans="1:4" ht="54.75" customHeight="1">
      <c r="A1687" s="43"/>
      <c r="B1687" s="168"/>
      <c r="C1687" s="49"/>
      <c r="D1687" s="5"/>
    </row>
    <row r="1688" spans="2:4" ht="15">
      <c r="B1688" s="196" t="s">
        <v>609</v>
      </c>
      <c r="C1688" s="196"/>
      <c r="D1688" s="196"/>
    </row>
    <row r="1689" spans="2:4" ht="15">
      <c r="B1689" s="197" t="s">
        <v>704</v>
      </c>
      <c r="C1689" s="197"/>
      <c r="D1689" s="1"/>
    </row>
    <row r="1690" spans="2:4" ht="18.75">
      <c r="B1690" s="198" t="s">
        <v>480</v>
      </c>
      <c r="C1690" s="198"/>
      <c r="D1690" s="198"/>
    </row>
    <row r="1691" spans="2:4" ht="15.75">
      <c r="B1691" s="199" t="s">
        <v>411</v>
      </c>
      <c r="C1691" s="199"/>
      <c r="D1691" s="199"/>
    </row>
    <row r="1692" spans="2:4" ht="15.75">
      <c r="B1692" s="2"/>
      <c r="C1692" s="2"/>
      <c r="D1692" s="2"/>
    </row>
    <row r="1693" spans="1:4" ht="14.25">
      <c r="A1693" s="8"/>
      <c r="B1693" s="155" t="s">
        <v>613</v>
      </c>
      <c r="C1693" s="156">
        <v>679</v>
      </c>
      <c r="D1693" s="5"/>
    </row>
    <row r="1694" spans="1:4" ht="12.75">
      <c r="A1694" s="8"/>
      <c r="B1694" s="11" t="s">
        <v>614</v>
      </c>
      <c r="C1694" s="12">
        <v>4.83</v>
      </c>
      <c r="D1694" s="13"/>
    </row>
    <row r="1695" spans="1:4" ht="12.75">
      <c r="A1695" s="8"/>
      <c r="B1695" s="14" t="s">
        <v>615</v>
      </c>
      <c r="C1695" s="12">
        <v>8.23</v>
      </c>
      <c r="D1695" s="13"/>
    </row>
    <row r="1696" spans="1:4" ht="18.75">
      <c r="A1696" s="17"/>
      <c r="B1696" s="15" t="s">
        <v>616</v>
      </c>
      <c r="C1696" s="16">
        <f>4287.16+855.63+1634.79+7270.06</f>
        <v>14047.64</v>
      </c>
      <c r="D1696" s="5"/>
    </row>
    <row r="1697" spans="1:4" ht="18.75">
      <c r="A1697" s="17" t="s">
        <v>412</v>
      </c>
      <c r="B1697" s="18" t="s">
        <v>617</v>
      </c>
      <c r="C1697" s="16">
        <f>C1698+C1699</f>
        <v>138539.24000000002</v>
      </c>
      <c r="D1697" s="5"/>
    </row>
    <row r="1698" spans="1:4" ht="15">
      <c r="A1698" s="17" t="s">
        <v>706</v>
      </c>
      <c r="B1698" s="19" t="s">
        <v>413</v>
      </c>
      <c r="C1698" s="20">
        <f>37237.48+63478.16</f>
        <v>100715.64000000001</v>
      </c>
      <c r="D1698" s="5"/>
    </row>
    <row r="1699" spans="1:4" ht="15">
      <c r="A1699" s="17" t="s">
        <v>708</v>
      </c>
      <c r="B1699" s="19" t="s">
        <v>709</v>
      </c>
      <c r="C1699" s="20">
        <f>13361.45+24462.15</f>
        <v>37823.600000000006</v>
      </c>
      <c r="D1699" s="5"/>
    </row>
    <row r="1700" spans="1:4" ht="18">
      <c r="A1700" s="17" t="s">
        <v>414</v>
      </c>
      <c r="B1700" s="18" t="s">
        <v>620</v>
      </c>
      <c r="C1700" s="21">
        <f>C1701+C1702</f>
        <v>130462.27</v>
      </c>
      <c r="D1700" s="5"/>
    </row>
    <row r="1701" spans="1:4" ht="15.75">
      <c r="A1701" s="17" t="s">
        <v>621</v>
      </c>
      <c r="B1701" s="157" t="s">
        <v>433</v>
      </c>
      <c r="C1701" s="23">
        <f>35588.53+59416.55</f>
        <v>95005.08</v>
      </c>
      <c r="D1701" s="5"/>
    </row>
    <row r="1702" spans="1:4" ht="15.75">
      <c r="A1702" s="17" t="s">
        <v>623</v>
      </c>
      <c r="B1702" s="157" t="s">
        <v>416</v>
      </c>
      <c r="C1702" s="23">
        <f>12502.29+22954.9</f>
        <v>35457.19</v>
      </c>
      <c r="D1702" s="5"/>
    </row>
    <row r="1703" spans="1:4" ht="36">
      <c r="A1703" s="17">
        <v>3</v>
      </c>
      <c r="B1703" s="24" t="s">
        <v>625</v>
      </c>
      <c r="C1703" s="85">
        <f>C1704+C1706</f>
        <v>91469.056</v>
      </c>
      <c r="D1703" s="5"/>
    </row>
    <row r="1704" spans="1:4" ht="18.75">
      <c r="A1704" s="17" t="s">
        <v>417</v>
      </c>
      <c r="B1704" s="87" t="s">
        <v>626</v>
      </c>
      <c r="C1704" s="27">
        <f>C1705</f>
        <v>32378.5</v>
      </c>
      <c r="D1704" s="5"/>
    </row>
    <row r="1705" spans="1:4" ht="15.75">
      <c r="A1705" s="17" t="s">
        <v>419</v>
      </c>
      <c r="B1705" s="87" t="s">
        <v>713</v>
      </c>
      <c r="C1705" s="88">
        <f>550*58.87</f>
        <v>32378.5</v>
      </c>
      <c r="D1705" s="5"/>
    </row>
    <row r="1706" spans="1:4" ht="18.75">
      <c r="A1706" s="17" t="s">
        <v>421</v>
      </c>
      <c r="B1706" s="87" t="s">
        <v>630</v>
      </c>
      <c r="C1706" s="27">
        <f>C1707+C1708+C1709+C1710+C1711+C1712+C1713</f>
        <v>59090.556</v>
      </c>
      <c r="D1706" s="5"/>
    </row>
    <row r="1707" spans="1:4" ht="25.5">
      <c r="A1707" s="30" t="s">
        <v>423</v>
      </c>
      <c r="B1707" s="104" t="s">
        <v>424</v>
      </c>
      <c r="C1707" s="32">
        <v>28240.14</v>
      </c>
      <c r="D1707" s="5"/>
    </row>
    <row r="1708" spans="1:4" ht="15">
      <c r="A1708" s="30"/>
      <c r="B1708" s="83" t="s">
        <v>427</v>
      </c>
      <c r="C1708" s="32">
        <v>1612.62</v>
      </c>
      <c r="D1708" s="5"/>
    </row>
    <row r="1709" spans="1:4" ht="12.75">
      <c r="A1709" s="17" t="s">
        <v>631</v>
      </c>
      <c r="B1709" s="159" t="s">
        <v>425</v>
      </c>
      <c r="C1709" s="34">
        <v>48.14</v>
      </c>
      <c r="D1709" s="5"/>
    </row>
    <row r="1710" spans="1:4" ht="12.75">
      <c r="A1710" s="17" t="s">
        <v>633</v>
      </c>
      <c r="B1710" s="160" t="s">
        <v>475</v>
      </c>
      <c r="C1710" s="34">
        <v>405.51</v>
      </c>
      <c r="D1710" s="5"/>
    </row>
    <row r="1711" spans="1:4" ht="12.75">
      <c r="A1711" s="30" t="s">
        <v>637</v>
      </c>
      <c r="B1711" s="159" t="s">
        <v>481</v>
      </c>
      <c r="C1711" s="34">
        <f>1.6*230*12</f>
        <v>4416</v>
      </c>
      <c r="D1711" s="5"/>
    </row>
    <row r="1712" spans="1:4" ht="12.75">
      <c r="A1712" s="30" t="s">
        <v>639</v>
      </c>
      <c r="B1712" s="159" t="s">
        <v>429</v>
      </c>
      <c r="C1712" s="34">
        <f>C1698*0.15</f>
        <v>15107.346000000001</v>
      </c>
      <c r="D1712" s="5"/>
    </row>
    <row r="1713" spans="1:4" ht="12.75">
      <c r="A1713" s="8" t="s">
        <v>641</v>
      </c>
      <c r="B1713" s="159" t="s">
        <v>436</v>
      </c>
      <c r="C1713" s="34">
        <v>9260.8</v>
      </c>
      <c r="D1713" s="5"/>
    </row>
    <row r="1714" spans="1:4" ht="12.75">
      <c r="A1714" s="8"/>
      <c r="B1714" s="37"/>
      <c r="C1714" s="167"/>
      <c r="D1714" s="5"/>
    </row>
    <row r="1715" spans="1:4" ht="30">
      <c r="A1715" s="8"/>
      <c r="B1715" s="45" t="s">
        <v>478</v>
      </c>
      <c r="C1715" s="46">
        <f>C1700-C1703</f>
        <v>38993.21400000001</v>
      </c>
      <c r="D1715" s="5"/>
    </row>
    <row r="1716" spans="1:4" ht="15.75">
      <c r="A1716" s="8"/>
      <c r="B1716" s="45" t="s">
        <v>479</v>
      </c>
      <c r="C1716" s="46">
        <v>2452.24</v>
      </c>
      <c r="D1716" s="5"/>
    </row>
    <row r="1717" spans="1:4" ht="15.75">
      <c r="A1717" s="8"/>
      <c r="B1717" s="45" t="s">
        <v>652</v>
      </c>
      <c r="C1717" s="46">
        <f>C1715+C1716</f>
        <v>41445.454000000005</v>
      </c>
      <c r="D1717" s="5"/>
    </row>
    <row r="1718" spans="1:4" ht="15.75">
      <c r="A1718" s="8"/>
      <c r="B1718" s="45"/>
      <c r="C1718" s="46"/>
      <c r="D1718" s="5"/>
    </row>
    <row r="1719" spans="1:4" ht="15.75">
      <c r="A1719" s="8"/>
      <c r="B1719" s="45" t="s">
        <v>653</v>
      </c>
      <c r="C1719" s="46">
        <f>C1700-(C1696+C1697)</f>
        <v>-22124.61</v>
      </c>
      <c r="D1719" s="5"/>
    </row>
    <row r="1720" spans="1:4" ht="15.75">
      <c r="A1720" s="8"/>
      <c r="B1720" s="45" t="s">
        <v>654</v>
      </c>
      <c r="C1720" s="46">
        <v>-16563.12</v>
      </c>
      <c r="D1720" s="5"/>
    </row>
    <row r="1721" spans="1:4" ht="15.75">
      <c r="A1721" s="8"/>
      <c r="B1721" s="45" t="s">
        <v>726</v>
      </c>
      <c r="C1721" s="46">
        <v>-5521.42</v>
      </c>
      <c r="D1721" s="5"/>
    </row>
    <row r="1722" spans="2:3" ht="15.75">
      <c r="B1722" s="174" t="s">
        <v>482</v>
      </c>
      <c r="C1722" s="20">
        <f>2445.82+2499.34</f>
        <v>4945.16</v>
      </c>
    </row>
    <row r="1723" ht="51" customHeight="1"/>
    <row r="1724" spans="2:4" ht="15">
      <c r="B1724" s="196" t="s">
        <v>609</v>
      </c>
      <c r="C1724" s="196"/>
      <c r="D1724" s="196"/>
    </row>
    <row r="1725" spans="2:4" ht="15">
      <c r="B1725" s="197" t="s">
        <v>610</v>
      </c>
      <c r="C1725" s="197"/>
      <c r="D1725" s="1"/>
    </row>
    <row r="1726" spans="2:4" ht="18.75">
      <c r="B1726" s="198" t="s">
        <v>483</v>
      </c>
      <c r="C1726" s="198"/>
      <c r="D1726" s="198"/>
    </row>
    <row r="1727" spans="2:4" ht="15.75">
      <c r="B1727" s="199" t="s">
        <v>612</v>
      </c>
      <c r="C1727" s="199"/>
      <c r="D1727" s="199"/>
    </row>
    <row r="1728" spans="2:4" ht="12.75">
      <c r="B1728" s="3"/>
      <c r="C1728" s="4"/>
      <c r="D1728" s="5"/>
    </row>
    <row r="1729" spans="2:4" ht="14.25">
      <c r="B1729" s="6"/>
      <c r="C1729" s="7"/>
      <c r="D1729" s="5"/>
    </row>
    <row r="1730" spans="1:4" ht="15.75">
      <c r="A1730" s="8"/>
      <c r="B1730" s="51" t="s">
        <v>613</v>
      </c>
      <c r="C1730" s="52">
        <v>368.76</v>
      </c>
      <c r="D1730" s="5"/>
    </row>
    <row r="1731" spans="1:4" ht="15">
      <c r="A1731" s="8"/>
      <c r="B1731" s="53" t="s">
        <v>667</v>
      </c>
      <c r="C1731" s="54">
        <v>2.99</v>
      </c>
      <c r="D1731" s="13"/>
    </row>
    <row r="1732" spans="1:4" ht="15">
      <c r="A1732" s="8"/>
      <c r="B1732" s="55" t="s">
        <v>615</v>
      </c>
      <c r="C1732" s="56">
        <v>4.56</v>
      </c>
      <c r="D1732" s="13"/>
    </row>
    <row r="1733" spans="1:4" ht="18.75">
      <c r="A1733" s="8"/>
      <c r="B1733" s="15" t="s">
        <v>616</v>
      </c>
      <c r="C1733" s="57">
        <f>4893.33+7609.31</f>
        <v>12502.64</v>
      </c>
      <c r="D1733" s="13"/>
    </row>
    <row r="1734" spans="1:4" ht="18">
      <c r="A1734" s="17">
        <v>1</v>
      </c>
      <c r="B1734" s="18" t="s">
        <v>668</v>
      </c>
      <c r="C1734" s="21">
        <f>13230.24+20263.57</f>
        <v>33493.81</v>
      </c>
      <c r="D1734" s="5"/>
    </row>
    <row r="1735" spans="1:4" ht="18">
      <c r="A1735" s="17">
        <v>2</v>
      </c>
      <c r="B1735" s="58" t="s">
        <v>669</v>
      </c>
      <c r="C1735" s="59">
        <f>(C1733+C1734)-C1737</f>
        <v>28601.809999999998</v>
      </c>
      <c r="D1735" s="5"/>
    </row>
    <row r="1736" spans="1:4" ht="15">
      <c r="A1736" s="17">
        <v>3</v>
      </c>
      <c r="B1736" s="19" t="s">
        <v>670</v>
      </c>
      <c r="C1736" s="20"/>
      <c r="D1736" s="5"/>
    </row>
    <row r="1737" spans="1:4" ht="15">
      <c r="A1737" s="17"/>
      <c r="B1737" s="60" t="s">
        <v>671</v>
      </c>
      <c r="C1737" s="20">
        <f>6803.34+10591.3</f>
        <v>17394.64</v>
      </c>
      <c r="D1737" s="5"/>
    </row>
    <row r="1738" spans="1:4" ht="15">
      <c r="A1738" s="125"/>
      <c r="B1738" s="62"/>
      <c r="C1738" s="126"/>
      <c r="D1738" s="5"/>
    </row>
    <row r="1739" spans="1:4" ht="15">
      <c r="A1739" s="127"/>
      <c r="B1739" s="62"/>
      <c r="C1739" s="128"/>
      <c r="D1739" s="5"/>
    </row>
    <row r="1740" spans="1:4" ht="31.5">
      <c r="A1740" s="17">
        <v>4</v>
      </c>
      <c r="B1740" s="64" t="s">
        <v>625</v>
      </c>
      <c r="C1740" s="27">
        <f>C1741+C1742+C1743+C1744+C1745+C1746+C1747</f>
        <v>32150.331499999997</v>
      </c>
      <c r="D1740" s="5"/>
    </row>
    <row r="1741" spans="1:4" ht="26.25">
      <c r="A1741" s="30" t="s">
        <v>672</v>
      </c>
      <c r="B1741" s="31" t="s">
        <v>632</v>
      </c>
      <c r="C1741" s="66">
        <v>12570.91</v>
      </c>
      <c r="D1741" s="5"/>
    </row>
    <row r="1742" spans="1:4" ht="15.75">
      <c r="A1742" s="17" t="s">
        <v>673</v>
      </c>
      <c r="B1742" s="79" t="s">
        <v>699</v>
      </c>
      <c r="C1742" s="23">
        <v>33.84</v>
      </c>
      <c r="D1742" s="5"/>
    </row>
    <row r="1743" spans="1:4" ht="15.75">
      <c r="A1743" s="17"/>
      <c r="B1743" s="83" t="s">
        <v>484</v>
      </c>
      <c r="C1743" s="23">
        <v>1600</v>
      </c>
      <c r="D1743" s="5"/>
    </row>
    <row r="1744" spans="1:4" ht="15.75">
      <c r="A1744" s="17"/>
      <c r="B1744" s="175" t="s">
        <v>485</v>
      </c>
      <c r="C1744" s="23">
        <v>408.24</v>
      </c>
      <c r="D1744" s="5"/>
    </row>
    <row r="1745" spans="1:4" ht="15.75">
      <c r="A1745" s="17" t="s">
        <v>676</v>
      </c>
      <c r="B1745" s="81" t="s">
        <v>486</v>
      </c>
      <c r="C1745" s="69">
        <f>2.3*230*12</f>
        <v>6348</v>
      </c>
      <c r="D1745" s="5"/>
    </row>
    <row r="1746" spans="1:4" ht="15.75">
      <c r="A1746" s="17"/>
      <c r="B1746" s="82" t="s">
        <v>703</v>
      </c>
      <c r="C1746" s="71">
        <f>C1734*0.15</f>
        <v>5024.071499999999</v>
      </c>
      <c r="D1746" s="5"/>
    </row>
    <row r="1747" spans="1:4" ht="15.75">
      <c r="A1747" s="8">
        <v>5</v>
      </c>
      <c r="B1747" s="79" t="s">
        <v>702</v>
      </c>
      <c r="C1747" s="23">
        <v>6165.27</v>
      </c>
      <c r="D1747" s="5"/>
    </row>
    <row r="1748" spans="1:4" ht="12.75">
      <c r="A1748" s="8"/>
      <c r="B1748" s="37"/>
      <c r="C1748" s="41"/>
      <c r="D1748" s="5"/>
    </row>
    <row r="1749" spans="1:3" ht="18">
      <c r="A1749" s="8"/>
      <c r="B1749" s="73" t="s">
        <v>683</v>
      </c>
      <c r="C1749" s="59">
        <v>-41102.13</v>
      </c>
    </row>
    <row r="1750" spans="1:4" ht="18">
      <c r="A1750" s="8"/>
      <c r="B1750" s="73" t="s">
        <v>825</v>
      </c>
      <c r="C1750" s="59">
        <f>C1735-C1740</f>
        <v>-3548.521499999999</v>
      </c>
      <c r="D1750" s="75"/>
    </row>
    <row r="1751" spans="1:3" ht="18.75">
      <c r="A1751" s="8"/>
      <c r="B1751" s="76" t="s">
        <v>487</v>
      </c>
      <c r="C1751" s="74">
        <f>SUM(C1749:C1750)</f>
        <v>-44650.65149999999</v>
      </c>
    </row>
    <row r="1752" ht="51" customHeight="1"/>
    <row r="1753" spans="2:4" ht="15">
      <c r="B1753" s="196" t="s">
        <v>609</v>
      </c>
      <c r="C1753" s="196"/>
      <c r="D1753" s="196"/>
    </row>
    <row r="1754" spans="2:4" ht="15">
      <c r="B1754" s="197" t="s">
        <v>610</v>
      </c>
      <c r="C1754" s="197"/>
      <c r="D1754" s="1"/>
    </row>
    <row r="1755" spans="2:4" ht="18.75">
      <c r="B1755" s="198" t="s">
        <v>488</v>
      </c>
      <c r="C1755" s="198"/>
      <c r="D1755" s="198"/>
    </row>
    <row r="1756" spans="2:4" ht="15.75">
      <c r="B1756" s="199" t="s">
        <v>612</v>
      </c>
      <c r="C1756" s="199"/>
      <c r="D1756" s="199"/>
    </row>
    <row r="1757" spans="2:4" ht="12.75">
      <c r="B1757" s="3"/>
      <c r="C1757" s="4"/>
      <c r="D1757" s="5"/>
    </row>
    <row r="1758" spans="2:4" ht="14.25">
      <c r="B1758" s="6"/>
      <c r="C1758" s="7"/>
      <c r="D1758" s="5"/>
    </row>
    <row r="1759" spans="1:4" ht="15.75">
      <c r="A1759" s="8"/>
      <c r="B1759" s="51" t="s">
        <v>613</v>
      </c>
      <c r="C1759" s="99">
        <v>174.76</v>
      </c>
      <c r="D1759" s="5"/>
    </row>
    <row r="1760" spans="1:4" ht="15">
      <c r="A1760" s="8"/>
      <c r="B1760" s="53" t="s">
        <v>667</v>
      </c>
      <c r="C1760" s="54">
        <v>3.2</v>
      </c>
      <c r="D1760" s="13"/>
    </row>
    <row r="1761" spans="1:4" ht="15">
      <c r="A1761" s="8"/>
      <c r="B1761" s="55" t="s">
        <v>615</v>
      </c>
      <c r="C1761" s="56">
        <v>5.49</v>
      </c>
      <c r="D1761" s="13"/>
    </row>
    <row r="1762" spans="1:4" ht="18.75">
      <c r="A1762" s="8"/>
      <c r="B1762" s="15" t="s">
        <v>616</v>
      </c>
      <c r="C1762" s="57">
        <f>381.43+653.52</f>
        <v>1034.95</v>
      </c>
      <c r="D1762" s="13"/>
    </row>
    <row r="1763" spans="1:4" ht="18">
      <c r="A1763" s="17">
        <v>1</v>
      </c>
      <c r="B1763" s="18" t="s">
        <v>668</v>
      </c>
      <c r="C1763" s="21">
        <f>6710.88+11513.16</f>
        <v>18224.04</v>
      </c>
      <c r="D1763" s="5"/>
    </row>
    <row r="1764" spans="1:4" ht="18">
      <c r="A1764" s="17">
        <v>2</v>
      </c>
      <c r="B1764" s="58" t="s">
        <v>669</v>
      </c>
      <c r="C1764" s="59">
        <f>(C1762+C1763)-C1766</f>
        <v>18845.730000000003</v>
      </c>
      <c r="D1764" s="5"/>
    </row>
    <row r="1765" spans="1:4" ht="15">
      <c r="A1765" s="17">
        <v>3</v>
      </c>
      <c r="B1765" s="19" t="s">
        <v>670</v>
      </c>
      <c r="C1765" s="20"/>
      <c r="D1765" s="5"/>
    </row>
    <row r="1766" spans="1:4" ht="18.75">
      <c r="A1766" s="17"/>
      <c r="B1766" s="60" t="s">
        <v>671</v>
      </c>
      <c r="C1766" s="16">
        <f>152.19+261.07</f>
        <v>413.26</v>
      </c>
      <c r="D1766" s="5"/>
    </row>
    <row r="1767" spans="1:4" ht="15">
      <c r="A1767" s="61"/>
      <c r="B1767" s="62"/>
      <c r="C1767" s="63"/>
      <c r="D1767" s="5"/>
    </row>
    <row r="1768" spans="1:4" ht="15">
      <c r="A1768" s="61"/>
      <c r="B1768" s="62"/>
      <c r="C1768" s="63"/>
      <c r="D1768" s="5"/>
    </row>
    <row r="1769" spans="1:4" ht="31.5">
      <c r="A1769" s="17">
        <v>4</v>
      </c>
      <c r="B1769" s="64" t="s">
        <v>625</v>
      </c>
      <c r="C1769" s="27">
        <f>C1770+C1771+C1772+C1773+C1774+C1775</f>
        <v>15608.526</v>
      </c>
      <c r="D1769" s="5"/>
    </row>
    <row r="1770" spans="1:4" ht="26.25">
      <c r="A1770" s="30" t="s">
        <v>672</v>
      </c>
      <c r="B1770" s="31" t="s">
        <v>632</v>
      </c>
      <c r="C1770" s="23">
        <v>2612.86</v>
      </c>
      <c r="D1770" s="5"/>
    </row>
    <row r="1771" spans="1:4" ht="28.5">
      <c r="A1771" s="17" t="s">
        <v>697</v>
      </c>
      <c r="B1771" s="80" t="s">
        <v>489</v>
      </c>
      <c r="C1771" s="23">
        <v>505.14</v>
      </c>
      <c r="D1771" s="5"/>
    </row>
    <row r="1772" spans="1:4" ht="15.75">
      <c r="A1772" s="17" t="s">
        <v>673</v>
      </c>
      <c r="B1772" s="79" t="s">
        <v>91</v>
      </c>
      <c r="C1772" s="23">
        <v>15.58</v>
      </c>
      <c r="D1772" s="5"/>
    </row>
    <row r="1773" spans="1:4" ht="15.75">
      <c r="A1773" s="17" t="s">
        <v>31</v>
      </c>
      <c r="B1773" s="81" t="s">
        <v>490</v>
      </c>
      <c r="C1773" s="69">
        <f>0.8*230*12</f>
        <v>2208</v>
      </c>
      <c r="D1773" s="5"/>
    </row>
    <row r="1774" spans="1:4" ht="15.75">
      <c r="A1774" s="8" t="s">
        <v>33</v>
      </c>
      <c r="B1774" s="82" t="s">
        <v>678</v>
      </c>
      <c r="C1774" s="71">
        <f>C1763*0.15</f>
        <v>2733.606</v>
      </c>
      <c r="D1774" s="5"/>
    </row>
    <row r="1775" spans="1:4" ht="15.75">
      <c r="A1775" s="8" t="s">
        <v>34</v>
      </c>
      <c r="B1775" s="79" t="s">
        <v>404</v>
      </c>
      <c r="C1775" s="23">
        <v>7533.34</v>
      </c>
      <c r="D1775" s="5"/>
    </row>
    <row r="1776" spans="1:4" ht="12.75">
      <c r="A1776" s="8"/>
      <c r="B1776" s="120"/>
      <c r="C1776" s="41"/>
      <c r="D1776" s="5"/>
    </row>
    <row r="1777" spans="1:3" ht="18">
      <c r="A1777" s="8"/>
      <c r="B1777" s="73" t="s">
        <v>683</v>
      </c>
      <c r="C1777" s="59">
        <v>-7355.06</v>
      </c>
    </row>
    <row r="1778" spans="1:4" ht="18">
      <c r="A1778" s="8"/>
      <c r="B1778" s="73" t="s">
        <v>53</v>
      </c>
      <c r="C1778" s="59">
        <f>C1764-C1769</f>
        <v>3237.2040000000034</v>
      </c>
      <c r="D1778" s="75"/>
    </row>
    <row r="1779" spans="1:3" ht="18.75">
      <c r="A1779" s="8"/>
      <c r="B1779" s="76" t="s">
        <v>54</v>
      </c>
      <c r="C1779" s="59">
        <f>SUM(C1777:C1778)</f>
        <v>-4117.855999999997</v>
      </c>
    </row>
    <row r="1780" ht="53.25" customHeight="1"/>
    <row r="1781" spans="2:4" ht="15">
      <c r="B1781" s="196" t="s">
        <v>609</v>
      </c>
      <c r="C1781" s="196"/>
      <c r="D1781" s="196"/>
    </row>
    <row r="1782" spans="2:4" ht="15">
      <c r="B1782" s="197" t="s">
        <v>704</v>
      </c>
      <c r="C1782" s="197"/>
      <c r="D1782" s="1"/>
    </row>
    <row r="1783" spans="2:4" ht="18.75">
      <c r="B1783" s="198" t="s">
        <v>491</v>
      </c>
      <c r="C1783" s="198"/>
      <c r="D1783" s="198"/>
    </row>
    <row r="1784" spans="2:4" ht="15.75">
      <c r="B1784" s="199" t="s">
        <v>411</v>
      </c>
      <c r="C1784" s="199"/>
      <c r="D1784" s="199"/>
    </row>
    <row r="1785" spans="2:4" ht="15.75">
      <c r="B1785" s="2"/>
      <c r="C1785" s="2"/>
      <c r="D1785" s="2"/>
    </row>
    <row r="1786" spans="1:4" ht="14.25">
      <c r="A1786" s="8"/>
      <c r="B1786" s="155" t="s">
        <v>613</v>
      </c>
      <c r="C1786" s="156">
        <v>417.1</v>
      </c>
      <c r="D1786" s="5"/>
    </row>
    <row r="1787" spans="1:4" ht="12.75">
      <c r="A1787" s="8"/>
      <c r="B1787" s="11" t="s">
        <v>614</v>
      </c>
      <c r="C1787" s="12">
        <v>4.83</v>
      </c>
      <c r="D1787" s="13"/>
    </row>
    <row r="1788" spans="1:4" ht="12.75">
      <c r="A1788" s="8"/>
      <c r="B1788" s="14" t="s">
        <v>615</v>
      </c>
      <c r="C1788" s="12">
        <v>8.23</v>
      </c>
      <c r="D1788" s="13"/>
    </row>
    <row r="1789" spans="1:4" ht="18.75">
      <c r="A1789" s="17"/>
      <c r="B1789" s="15" t="s">
        <v>616</v>
      </c>
      <c r="C1789" s="16">
        <f>2968.44+1813.12+3468.53+5060.93</f>
        <v>13311.02</v>
      </c>
      <c r="D1789" s="5"/>
    </row>
    <row r="1790" spans="1:4" ht="18.75">
      <c r="A1790" s="17" t="s">
        <v>412</v>
      </c>
      <c r="B1790" s="18" t="s">
        <v>617</v>
      </c>
      <c r="C1790" s="16">
        <f>C1791+C1792</f>
        <v>90583.54000000001</v>
      </c>
      <c r="D1790" s="5"/>
    </row>
    <row r="1791" spans="1:4" ht="15">
      <c r="A1791" s="17" t="s">
        <v>706</v>
      </c>
      <c r="B1791" s="19" t="s">
        <v>413</v>
      </c>
      <c r="C1791" s="20">
        <f>24175.2+41192.88</f>
        <v>65368.08</v>
      </c>
      <c r="D1791" s="5"/>
    </row>
    <row r="1792" spans="1:4" ht="15">
      <c r="A1792" s="17" t="s">
        <v>708</v>
      </c>
      <c r="B1792" s="19" t="s">
        <v>709</v>
      </c>
      <c r="C1792" s="20">
        <f>8909.44+16306.02</f>
        <v>25215.46</v>
      </c>
      <c r="D1792" s="5"/>
    </row>
    <row r="1793" spans="1:4" ht="18">
      <c r="A1793" s="17" t="s">
        <v>414</v>
      </c>
      <c r="B1793" s="18" t="s">
        <v>620</v>
      </c>
      <c r="C1793" s="21">
        <f>C1794+C1795</f>
        <v>82588.86</v>
      </c>
      <c r="D1793" s="5"/>
    </row>
    <row r="1794" spans="1:4" ht="15.75">
      <c r="A1794" s="17" t="s">
        <v>621</v>
      </c>
      <c r="B1794" s="157" t="s">
        <v>433</v>
      </c>
      <c r="C1794" s="23">
        <f>20826.76+35488.85</f>
        <v>56315.61</v>
      </c>
      <c r="D1794" s="5"/>
    </row>
    <row r="1795" spans="1:4" ht="15.75">
      <c r="A1795" s="17" t="s">
        <v>623</v>
      </c>
      <c r="B1795" s="157" t="s">
        <v>416</v>
      </c>
      <c r="C1795" s="23">
        <f>9260.18+17013.07</f>
        <v>26273.25</v>
      </c>
      <c r="D1795" s="5"/>
    </row>
    <row r="1796" spans="1:4" ht="36">
      <c r="A1796" s="17">
        <v>3</v>
      </c>
      <c r="B1796" s="24" t="s">
        <v>625</v>
      </c>
      <c r="C1796" s="85">
        <f>C1797+C1799</f>
        <v>113268.182</v>
      </c>
      <c r="D1796" s="5"/>
    </row>
    <row r="1797" spans="1:4" ht="18.75">
      <c r="A1797" s="17" t="s">
        <v>417</v>
      </c>
      <c r="B1797" s="87" t="s">
        <v>626</v>
      </c>
      <c r="C1797" s="27">
        <f>C1798</f>
        <v>20192.41</v>
      </c>
      <c r="D1797" s="5"/>
    </row>
    <row r="1798" spans="1:4" ht="15.75">
      <c r="A1798" s="17" t="s">
        <v>419</v>
      </c>
      <c r="B1798" s="87" t="s">
        <v>713</v>
      </c>
      <c r="C1798" s="88">
        <f>343*58.87</f>
        <v>20192.41</v>
      </c>
      <c r="D1798" s="5"/>
    </row>
    <row r="1799" spans="1:4" ht="18.75">
      <c r="A1799" s="17" t="s">
        <v>421</v>
      </c>
      <c r="B1799" s="87" t="s">
        <v>630</v>
      </c>
      <c r="C1799" s="27">
        <f>C1800+C1802+C1804+C1805+C1806+C1807</f>
        <v>93075.772</v>
      </c>
      <c r="D1799" s="5"/>
    </row>
    <row r="1800" spans="1:4" ht="25.5">
      <c r="A1800" s="30" t="s">
        <v>423</v>
      </c>
      <c r="B1800" s="104" t="s">
        <v>424</v>
      </c>
      <c r="C1800" s="32">
        <v>14692.43</v>
      </c>
      <c r="D1800" s="5"/>
    </row>
    <row r="1801" spans="1:4" ht="12.75">
      <c r="A1801" s="30"/>
      <c r="B1801" s="160" t="s">
        <v>427</v>
      </c>
      <c r="C1801" s="32">
        <v>1417.32</v>
      </c>
      <c r="D1801" s="5"/>
    </row>
    <row r="1802" spans="1:4" ht="12.75">
      <c r="A1802" s="17" t="s">
        <v>631</v>
      </c>
      <c r="B1802" s="159" t="s">
        <v>425</v>
      </c>
      <c r="C1802" s="34">
        <v>29.59</v>
      </c>
      <c r="D1802" s="5"/>
    </row>
    <row r="1803" spans="1:4" ht="12.75">
      <c r="A1803" s="17"/>
      <c r="B1803" s="94" t="s">
        <v>492</v>
      </c>
      <c r="C1803" s="91">
        <f>5*(119.5+56.3)+250</f>
        <v>1129</v>
      </c>
      <c r="D1803" s="5"/>
    </row>
    <row r="1804" spans="1:4" ht="12.75">
      <c r="A1804" s="17" t="s">
        <v>633</v>
      </c>
      <c r="B1804" s="160" t="s">
        <v>475</v>
      </c>
      <c r="C1804" s="34">
        <v>405.51</v>
      </c>
      <c r="D1804" s="5"/>
    </row>
    <row r="1805" spans="1:4" ht="12.75">
      <c r="A1805" s="30" t="s">
        <v>637</v>
      </c>
      <c r="B1805" s="159" t="s">
        <v>493</v>
      </c>
      <c r="C1805" s="34">
        <f>1.5*230*12</f>
        <v>4140</v>
      </c>
      <c r="D1805" s="5"/>
    </row>
    <row r="1806" spans="1:4" ht="12.75">
      <c r="A1806" s="30" t="s">
        <v>639</v>
      </c>
      <c r="B1806" s="159" t="s">
        <v>429</v>
      </c>
      <c r="C1806" s="34">
        <f>C1791*0.15</f>
        <v>9805.212</v>
      </c>
      <c r="D1806" s="5"/>
    </row>
    <row r="1807" spans="1:4" ht="12.75">
      <c r="A1807" s="8" t="s">
        <v>641</v>
      </c>
      <c r="B1807" s="159" t="s">
        <v>436</v>
      </c>
      <c r="C1807" s="34">
        <v>64003.03</v>
      </c>
      <c r="D1807" s="5"/>
    </row>
    <row r="1808" spans="1:4" ht="12.75">
      <c r="A1808" s="8"/>
      <c r="B1808" s="37"/>
      <c r="C1808" s="167"/>
      <c r="D1808" s="5"/>
    </row>
    <row r="1809" spans="1:4" ht="30">
      <c r="A1809" s="8"/>
      <c r="B1809" s="45" t="s">
        <v>478</v>
      </c>
      <c r="C1809" s="46">
        <f>C1793-C1796</f>
        <v>-30679.322</v>
      </c>
      <c r="D1809" s="5"/>
    </row>
    <row r="1810" spans="1:4" ht="15.75">
      <c r="A1810" s="8"/>
      <c r="B1810" s="45" t="s">
        <v>479</v>
      </c>
      <c r="C1810" s="46">
        <v>36174.2</v>
      </c>
      <c r="D1810" s="5"/>
    </row>
    <row r="1811" spans="1:4" ht="15.75">
      <c r="A1811" s="8"/>
      <c r="B1811" s="45" t="s">
        <v>652</v>
      </c>
      <c r="C1811" s="46">
        <f>C1809+C1810</f>
        <v>5494.877999999997</v>
      </c>
      <c r="D1811" s="5"/>
    </row>
    <row r="1812" spans="1:4" ht="15.75">
      <c r="A1812" s="8"/>
      <c r="B1812" s="45"/>
      <c r="C1812" s="46"/>
      <c r="D1812" s="5"/>
    </row>
    <row r="1813" spans="1:4" ht="15.75">
      <c r="A1813" s="8"/>
      <c r="B1813" s="45" t="s">
        <v>653</v>
      </c>
      <c r="C1813" s="46">
        <f>C1793-(C1789+C1790)</f>
        <v>-21305.70000000001</v>
      </c>
      <c r="D1813" s="5"/>
    </row>
    <row r="1814" spans="1:4" ht="15.75">
      <c r="A1814" s="8"/>
      <c r="B1814" s="45" t="s">
        <v>654</v>
      </c>
      <c r="C1814" s="46">
        <v>-17081.84</v>
      </c>
      <c r="D1814" s="5"/>
    </row>
    <row r="1815" spans="1:4" ht="15.75">
      <c r="A1815" s="8"/>
      <c r="B1815" s="45" t="s">
        <v>726</v>
      </c>
      <c r="C1815" s="46">
        <v>-4223.86</v>
      </c>
      <c r="D1815" s="5"/>
    </row>
    <row r="1816" ht="53.25" customHeight="1"/>
    <row r="1817" spans="2:4" ht="15">
      <c r="B1817" s="196" t="s">
        <v>609</v>
      </c>
      <c r="C1817" s="196"/>
      <c r="D1817" s="196"/>
    </row>
    <row r="1818" spans="2:4" ht="15">
      <c r="B1818" s="197" t="s">
        <v>610</v>
      </c>
      <c r="C1818" s="197"/>
      <c r="D1818" s="1"/>
    </row>
    <row r="1819" spans="2:4" ht="18.75">
      <c r="B1819" s="198" t="s">
        <v>494</v>
      </c>
      <c r="C1819" s="198"/>
      <c r="D1819" s="198"/>
    </row>
    <row r="1820" spans="2:4" ht="15.75">
      <c r="B1820" s="199" t="s">
        <v>612</v>
      </c>
      <c r="C1820" s="199"/>
      <c r="D1820" s="199"/>
    </row>
    <row r="1821" spans="2:4" ht="12.75">
      <c r="B1821" s="3"/>
      <c r="C1821" s="4"/>
      <c r="D1821" s="5"/>
    </row>
    <row r="1822" spans="2:4" ht="14.25">
      <c r="B1822" s="6"/>
      <c r="C1822" s="7"/>
      <c r="D1822" s="5"/>
    </row>
    <row r="1823" spans="1:4" ht="15.75">
      <c r="A1823" s="8"/>
      <c r="B1823" s="51" t="s">
        <v>613</v>
      </c>
      <c r="C1823" s="52">
        <v>366.02</v>
      </c>
      <c r="D1823" s="5"/>
    </row>
    <row r="1824" spans="1:4" ht="15">
      <c r="A1824" s="8"/>
      <c r="B1824" s="53" t="s">
        <v>667</v>
      </c>
      <c r="C1824" s="54">
        <v>2.99</v>
      </c>
      <c r="D1824" s="13"/>
    </row>
    <row r="1825" spans="1:4" ht="15">
      <c r="A1825" s="8"/>
      <c r="B1825" s="55" t="s">
        <v>615</v>
      </c>
      <c r="C1825" s="56">
        <v>4.56</v>
      </c>
      <c r="D1825" s="13"/>
    </row>
    <row r="1826" spans="1:4" ht="18.75">
      <c r="A1826" s="8"/>
      <c r="B1826" s="15" t="s">
        <v>616</v>
      </c>
      <c r="C1826" s="57">
        <f>10099.54+15892.18</f>
        <v>25991.72</v>
      </c>
      <c r="D1826" s="13"/>
    </row>
    <row r="1827" spans="1:4" ht="18">
      <c r="A1827" s="17">
        <v>1</v>
      </c>
      <c r="B1827" s="18" t="s">
        <v>668</v>
      </c>
      <c r="C1827" s="21">
        <f>13208.76+20144.64</f>
        <v>33353.4</v>
      </c>
      <c r="D1827" s="5"/>
    </row>
    <row r="1828" spans="1:4" ht="18">
      <c r="A1828" s="17">
        <v>2</v>
      </c>
      <c r="B1828" s="58" t="s">
        <v>669</v>
      </c>
      <c r="C1828" s="59">
        <f>(C1826+C1827)-C1830</f>
        <v>5826.260000000002</v>
      </c>
      <c r="D1828" s="5"/>
    </row>
    <row r="1829" spans="1:4" ht="15">
      <c r="A1829" s="17">
        <v>3</v>
      </c>
      <c r="B1829" s="19" t="s">
        <v>670</v>
      </c>
      <c r="C1829" s="20"/>
      <c r="D1829" s="5"/>
    </row>
    <row r="1830" spans="1:4" ht="15">
      <c r="A1830" s="17"/>
      <c r="B1830" s="60" t="s">
        <v>671</v>
      </c>
      <c r="C1830" s="20">
        <f>21001.71+32517.15</f>
        <v>53518.86</v>
      </c>
      <c r="D1830" s="5"/>
    </row>
    <row r="1831" spans="1:4" ht="15">
      <c r="A1831" s="125"/>
      <c r="B1831" s="62"/>
      <c r="C1831" s="126"/>
      <c r="D1831" s="5"/>
    </row>
    <row r="1832" spans="1:4" ht="15">
      <c r="A1832" s="127"/>
      <c r="B1832" s="62"/>
      <c r="C1832" s="128"/>
      <c r="D1832" s="5"/>
    </row>
    <row r="1833" spans="1:4" ht="31.5">
      <c r="A1833" s="17">
        <v>4</v>
      </c>
      <c r="B1833" s="64" t="s">
        <v>625</v>
      </c>
      <c r="C1833" s="27">
        <f>C1834+C1835+C1836+C1837+C1838+C1839</f>
        <v>20962.300000000003</v>
      </c>
      <c r="D1833" s="5"/>
    </row>
    <row r="1834" spans="1:4" ht="26.25">
      <c r="A1834" s="30" t="s">
        <v>672</v>
      </c>
      <c r="B1834" s="31" t="s">
        <v>632</v>
      </c>
      <c r="C1834" s="66">
        <v>1352.32</v>
      </c>
      <c r="D1834" s="5"/>
    </row>
    <row r="1835" spans="1:4" ht="15.75">
      <c r="A1835" s="17" t="s">
        <v>673</v>
      </c>
      <c r="B1835" s="79" t="s">
        <v>699</v>
      </c>
      <c r="C1835" s="23">
        <v>26.34</v>
      </c>
      <c r="D1835" s="5"/>
    </row>
    <row r="1836" spans="1:4" ht="15.75">
      <c r="A1836" s="17" t="s">
        <v>676</v>
      </c>
      <c r="B1836" s="83" t="s">
        <v>495</v>
      </c>
      <c r="C1836" s="23">
        <v>405.51</v>
      </c>
      <c r="D1836" s="5"/>
    </row>
    <row r="1837" spans="1:4" ht="15.75">
      <c r="A1837" s="17" t="s">
        <v>31</v>
      </c>
      <c r="B1837" s="81" t="s">
        <v>68</v>
      </c>
      <c r="C1837" s="69">
        <f>1.8*230*12</f>
        <v>4968</v>
      </c>
      <c r="D1837" s="5"/>
    </row>
    <row r="1838" spans="1:4" ht="15.75">
      <c r="A1838" s="17" t="s">
        <v>33</v>
      </c>
      <c r="B1838" s="82" t="s">
        <v>703</v>
      </c>
      <c r="C1838" s="71">
        <f>C1827*0.15</f>
        <v>5003.01</v>
      </c>
      <c r="D1838" s="5"/>
    </row>
    <row r="1839" spans="1:4" ht="15.75">
      <c r="A1839" s="8" t="s">
        <v>34</v>
      </c>
      <c r="B1839" s="79" t="s">
        <v>496</v>
      </c>
      <c r="C1839" s="23">
        <v>9207.12</v>
      </c>
      <c r="D1839" s="5"/>
    </row>
    <row r="1840" spans="1:4" ht="12.75">
      <c r="A1840" s="8"/>
      <c r="B1840" s="37"/>
      <c r="C1840" s="41"/>
      <c r="D1840" s="5"/>
    </row>
    <row r="1841" spans="1:3" ht="18">
      <c r="A1841" s="8"/>
      <c r="B1841" s="73" t="s">
        <v>683</v>
      </c>
      <c r="C1841" s="59">
        <v>25430.61</v>
      </c>
    </row>
    <row r="1842" spans="1:4" ht="18">
      <c r="A1842" s="8"/>
      <c r="B1842" s="73" t="s">
        <v>825</v>
      </c>
      <c r="C1842" s="59">
        <f>C1828-C1833</f>
        <v>-15136.04</v>
      </c>
      <c r="D1842" s="75"/>
    </row>
    <row r="1843" spans="1:3" ht="18.75">
      <c r="A1843" s="8"/>
      <c r="B1843" s="76" t="s">
        <v>487</v>
      </c>
      <c r="C1843" s="74">
        <f>SUM(C1841:C1842)</f>
        <v>10294.57</v>
      </c>
    </row>
    <row r="1844" ht="53.25" customHeight="1"/>
    <row r="1845" spans="2:4" ht="15">
      <c r="B1845" s="196" t="s">
        <v>609</v>
      </c>
      <c r="C1845" s="196"/>
      <c r="D1845" s="196"/>
    </row>
    <row r="1846" spans="2:4" ht="15">
      <c r="B1846" s="197" t="s">
        <v>704</v>
      </c>
      <c r="C1846" s="197"/>
      <c r="D1846" s="1"/>
    </row>
    <row r="1847" spans="2:4" ht="18.75">
      <c r="B1847" s="198" t="s">
        <v>497</v>
      </c>
      <c r="C1847" s="198"/>
      <c r="D1847" s="198"/>
    </row>
    <row r="1848" spans="2:4" ht="15.75">
      <c r="B1848" s="199" t="s">
        <v>411</v>
      </c>
      <c r="C1848" s="199"/>
      <c r="D1848" s="199"/>
    </row>
    <row r="1849" spans="2:4" ht="15.75">
      <c r="B1849" s="2"/>
      <c r="C1849" s="2"/>
      <c r="D1849" s="2"/>
    </row>
    <row r="1850" spans="1:4" ht="14.25">
      <c r="A1850" s="8"/>
      <c r="B1850" s="155" t="s">
        <v>613</v>
      </c>
      <c r="C1850" s="156">
        <v>662.36</v>
      </c>
      <c r="D1850" s="5"/>
    </row>
    <row r="1851" spans="1:4" ht="12.75">
      <c r="A1851" s="8"/>
      <c r="B1851" s="11" t="s">
        <v>614</v>
      </c>
      <c r="C1851" s="12">
        <v>4.83</v>
      </c>
      <c r="D1851" s="13"/>
    </row>
    <row r="1852" spans="1:4" ht="12.75">
      <c r="A1852" s="8"/>
      <c r="B1852" s="14" t="s">
        <v>615</v>
      </c>
      <c r="C1852" s="12">
        <v>8.23</v>
      </c>
      <c r="D1852" s="13"/>
    </row>
    <row r="1853" spans="1:4" ht="18.75">
      <c r="A1853" s="17"/>
      <c r="B1853" s="15" t="s">
        <v>616</v>
      </c>
      <c r="C1853" s="16">
        <f>3535.29+2578.54+4949.36+6028.37</f>
        <v>17091.559999999998</v>
      </c>
      <c r="D1853" s="5"/>
    </row>
    <row r="1854" spans="1:4" ht="18.75">
      <c r="A1854" s="17" t="s">
        <v>412</v>
      </c>
      <c r="B1854" s="18" t="s">
        <v>617</v>
      </c>
      <c r="C1854" s="16">
        <f>C1855+C1856</f>
        <v>166062.33000000002</v>
      </c>
      <c r="D1854" s="5"/>
    </row>
    <row r="1855" spans="1:4" ht="15">
      <c r="A1855" s="17" t="s">
        <v>706</v>
      </c>
      <c r="B1855" s="19" t="s">
        <v>413</v>
      </c>
      <c r="C1855" s="20">
        <f>38388.48+65411.48</f>
        <v>103799.96</v>
      </c>
      <c r="D1855" s="5"/>
    </row>
    <row r="1856" spans="1:4" ht="15">
      <c r="A1856" s="17" t="s">
        <v>708</v>
      </c>
      <c r="B1856" s="19" t="s">
        <v>709</v>
      </c>
      <c r="C1856" s="20">
        <f>21999.52+40262.85</f>
        <v>62262.369999999995</v>
      </c>
      <c r="D1856" s="5"/>
    </row>
    <row r="1857" spans="1:4" ht="18">
      <c r="A1857" s="17" t="s">
        <v>414</v>
      </c>
      <c r="B1857" s="18" t="s">
        <v>620</v>
      </c>
      <c r="C1857" s="21">
        <f>C1858+C1859</f>
        <v>156109.68</v>
      </c>
      <c r="D1857" s="5"/>
    </row>
    <row r="1858" spans="1:4" ht="15.75">
      <c r="A1858" s="17" t="s">
        <v>621</v>
      </c>
      <c r="B1858" s="157" t="s">
        <v>433</v>
      </c>
      <c r="C1858" s="23">
        <f>35544.74+60569.37</f>
        <v>96114.11</v>
      </c>
      <c r="D1858" s="5"/>
    </row>
    <row r="1859" spans="1:4" ht="15.75">
      <c r="A1859" s="17" t="s">
        <v>623</v>
      </c>
      <c r="B1859" s="157" t="s">
        <v>416</v>
      </c>
      <c r="C1859" s="23">
        <f>21134.13+38861.44</f>
        <v>59995.57000000001</v>
      </c>
      <c r="D1859" s="5"/>
    </row>
    <row r="1860" spans="1:4" ht="36">
      <c r="A1860" s="17">
        <v>3</v>
      </c>
      <c r="B1860" s="24" t="s">
        <v>625</v>
      </c>
      <c r="C1860" s="85">
        <f>C1861+C1863</f>
        <v>236953.94399999996</v>
      </c>
      <c r="D1860" s="5"/>
    </row>
    <row r="1861" spans="1:4" ht="18.75">
      <c r="A1861" s="17" t="s">
        <v>417</v>
      </c>
      <c r="B1861" s="87" t="s">
        <v>626</v>
      </c>
      <c r="C1861" s="27">
        <f>C1862</f>
        <v>47684.7</v>
      </c>
      <c r="D1861" s="5"/>
    </row>
    <row r="1862" spans="1:4" ht="15.75">
      <c r="A1862" s="17" t="s">
        <v>419</v>
      </c>
      <c r="B1862" s="87" t="s">
        <v>713</v>
      </c>
      <c r="C1862" s="88">
        <f>810*58.87</f>
        <v>47684.7</v>
      </c>
      <c r="D1862" s="5"/>
    </row>
    <row r="1863" spans="1:4" ht="18.75">
      <c r="A1863" s="17" t="s">
        <v>421</v>
      </c>
      <c r="B1863" s="87" t="s">
        <v>630</v>
      </c>
      <c r="C1863" s="27">
        <f>C1864+C1865+C1866+C1867+C1868+C1869+C1870+C1871</f>
        <v>189269.24399999998</v>
      </c>
      <c r="D1863" s="5"/>
    </row>
    <row r="1864" spans="1:4" ht="25.5">
      <c r="A1864" s="30" t="s">
        <v>423</v>
      </c>
      <c r="B1864" s="104" t="s">
        <v>424</v>
      </c>
      <c r="C1864" s="32">
        <v>20923.63</v>
      </c>
      <c r="D1864" s="13">
        <v>189269.24</v>
      </c>
    </row>
    <row r="1865" spans="1:4" ht="12.75">
      <c r="A1865" s="30"/>
      <c r="B1865" s="160" t="s">
        <v>427</v>
      </c>
      <c r="C1865" s="32">
        <v>3191.76</v>
      </c>
      <c r="D1865" s="5"/>
    </row>
    <row r="1866" spans="1:4" ht="12.75">
      <c r="A1866" s="17" t="s">
        <v>631</v>
      </c>
      <c r="B1866" s="159" t="s">
        <v>425</v>
      </c>
      <c r="C1866" s="34">
        <v>0</v>
      </c>
      <c r="D1866" s="5"/>
    </row>
    <row r="1867" spans="1:4" ht="12.75">
      <c r="A1867" s="17"/>
      <c r="B1867" s="37" t="s">
        <v>498</v>
      </c>
      <c r="C1867" s="34">
        <v>1660</v>
      </c>
      <c r="D1867" s="5"/>
    </row>
    <row r="1868" spans="1:4" ht="25.5">
      <c r="A1868" s="17" t="s">
        <v>633</v>
      </c>
      <c r="B1868" s="108" t="s">
        <v>499</v>
      </c>
      <c r="C1868" s="34">
        <v>1584.53</v>
      </c>
      <c r="D1868" s="5"/>
    </row>
    <row r="1869" spans="1:4" ht="12.75">
      <c r="A1869" s="30" t="s">
        <v>637</v>
      </c>
      <c r="B1869" s="159" t="s">
        <v>500</v>
      </c>
      <c r="C1869" s="34">
        <f>2.1*230*12</f>
        <v>5796</v>
      </c>
      <c r="D1869" s="5"/>
    </row>
    <row r="1870" spans="1:4" ht="12.75">
      <c r="A1870" s="30" t="s">
        <v>639</v>
      </c>
      <c r="B1870" s="159" t="s">
        <v>429</v>
      </c>
      <c r="C1870" s="34">
        <f>C1855*0.15</f>
        <v>15569.994</v>
      </c>
      <c r="D1870" s="5"/>
    </row>
    <row r="1871" spans="1:4" ht="12.75">
      <c r="A1871" s="8" t="s">
        <v>641</v>
      </c>
      <c r="B1871" s="159" t="s">
        <v>436</v>
      </c>
      <c r="C1871" s="34">
        <v>140543.33</v>
      </c>
      <c r="D1871" s="5"/>
    </row>
    <row r="1872" spans="1:4" ht="12.75">
      <c r="A1872" s="8"/>
      <c r="B1872" s="176"/>
      <c r="C1872" s="96"/>
      <c r="D1872" s="5"/>
    </row>
    <row r="1873" spans="1:4" ht="30">
      <c r="A1873" s="8"/>
      <c r="B1873" s="45" t="s">
        <v>478</v>
      </c>
      <c r="C1873" s="46">
        <f>C1857-C1860</f>
        <v>-80844.26399999997</v>
      </c>
      <c r="D1873" s="5"/>
    </row>
    <row r="1874" spans="1:4" ht="15.75">
      <c r="A1874" s="8"/>
      <c r="B1874" s="45" t="s">
        <v>479</v>
      </c>
      <c r="C1874" s="46">
        <v>57172.3</v>
      </c>
      <c r="D1874" s="5"/>
    </row>
    <row r="1875" spans="1:4" ht="15.75">
      <c r="A1875" s="8"/>
      <c r="B1875" s="45" t="s">
        <v>652</v>
      </c>
      <c r="C1875" s="46">
        <f>C1873+C1874</f>
        <v>-23671.963999999964</v>
      </c>
      <c r="D1875" s="5"/>
    </row>
    <row r="1876" spans="1:4" ht="15.75">
      <c r="A1876" s="8"/>
      <c r="B1876" s="45"/>
      <c r="C1876" s="46"/>
      <c r="D1876" s="5"/>
    </row>
    <row r="1877" spans="1:4" ht="15.75">
      <c r="A1877" s="8"/>
      <c r="B1877" s="45" t="s">
        <v>653</v>
      </c>
      <c r="C1877" s="46">
        <f>C1857-(C1853+C1854)</f>
        <v>-27044.21000000002</v>
      </c>
      <c r="D1877" s="5"/>
    </row>
    <row r="1878" spans="1:4" ht="15.75">
      <c r="A1878" s="8"/>
      <c r="B1878" s="45" t="s">
        <v>654</v>
      </c>
      <c r="C1878" s="46">
        <v>-17249.51</v>
      </c>
      <c r="D1878" s="5"/>
    </row>
    <row r="1879" spans="1:4" ht="15.75">
      <c r="A1879" s="8"/>
      <c r="B1879" s="45" t="s">
        <v>726</v>
      </c>
      <c r="C1879" s="46">
        <v>-9794.7</v>
      </c>
      <c r="D1879" s="5"/>
    </row>
    <row r="1880" ht="50.25" customHeight="1"/>
    <row r="1881" spans="2:4" ht="15">
      <c r="B1881" s="196" t="s">
        <v>609</v>
      </c>
      <c r="C1881" s="196"/>
      <c r="D1881" s="196"/>
    </row>
    <row r="1882" spans="2:4" ht="15">
      <c r="B1882" s="197" t="s">
        <v>704</v>
      </c>
      <c r="C1882" s="197"/>
      <c r="D1882" s="1"/>
    </row>
    <row r="1883" spans="2:4" ht="18.75">
      <c r="B1883" s="198" t="s">
        <v>501</v>
      </c>
      <c r="C1883" s="198"/>
      <c r="D1883" s="198"/>
    </row>
    <row r="1884" spans="2:4" ht="15.75">
      <c r="B1884" s="199" t="s">
        <v>411</v>
      </c>
      <c r="C1884" s="199"/>
      <c r="D1884" s="199"/>
    </row>
    <row r="1885" spans="2:4" ht="15.75">
      <c r="B1885" s="2"/>
      <c r="C1885" s="2"/>
      <c r="D1885" s="2"/>
    </row>
    <row r="1886" spans="1:4" ht="14.25">
      <c r="A1886" s="8"/>
      <c r="B1886" s="155" t="s">
        <v>613</v>
      </c>
      <c r="C1886" s="156">
        <v>378.7</v>
      </c>
      <c r="D1886" s="5"/>
    </row>
    <row r="1887" spans="1:4" ht="12.75">
      <c r="A1887" s="8"/>
      <c r="B1887" s="11" t="s">
        <v>614</v>
      </c>
      <c r="C1887" s="12">
        <v>4.83</v>
      </c>
      <c r="D1887" s="13"/>
    </row>
    <row r="1888" spans="1:4" ht="12.75">
      <c r="A1888" s="8"/>
      <c r="B1888" s="14" t="s">
        <v>615</v>
      </c>
      <c r="C1888" s="12">
        <v>8.23</v>
      </c>
      <c r="D1888" s="13"/>
    </row>
    <row r="1889" spans="1:4" ht="18.75">
      <c r="A1889" s="17"/>
      <c r="B1889" s="15" t="s">
        <v>616</v>
      </c>
      <c r="C1889" s="16">
        <f>1184.73+2019.64+716.19+1368.12</f>
        <v>5288.68</v>
      </c>
      <c r="D1889" s="5"/>
    </row>
    <row r="1890" spans="1:4" ht="18.75">
      <c r="A1890" s="17" t="s">
        <v>412</v>
      </c>
      <c r="B1890" s="18" t="s">
        <v>617</v>
      </c>
      <c r="C1890" s="16">
        <f>C1891+C1892</f>
        <v>96637.4</v>
      </c>
      <c r="D1890" s="5"/>
    </row>
    <row r="1891" spans="1:4" ht="15">
      <c r="A1891" s="17" t="s">
        <v>706</v>
      </c>
      <c r="B1891" s="19" t="s">
        <v>413</v>
      </c>
      <c r="C1891" s="20">
        <f>21949.32+37400.28</f>
        <v>59349.6</v>
      </c>
      <c r="D1891" s="5"/>
    </row>
    <row r="1892" spans="1:4" ht="15">
      <c r="A1892" s="17" t="s">
        <v>708</v>
      </c>
      <c r="B1892" s="19" t="s">
        <v>709</v>
      </c>
      <c r="C1892" s="20">
        <f>13175.36+24112.44</f>
        <v>37287.8</v>
      </c>
      <c r="D1892" s="5"/>
    </row>
    <row r="1893" spans="1:4" ht="18">
      <c r="A1893" s="17" t="s">
        <v>414</v>
      </c>
      <c r="B1893" s="18" t="s">
        <v>620</v>
      </c>
      <c r="C1893" s="21">
        <f>C1894+C1895</f>
        <v>98436.23000000001</v>
      </c>
      <c r="D1893" s="5"/>
    </row>
    <row r="1894" spans="1:4" ht="15.75">
      <c r="A1894" s="17" t="s">
        <v>621</v>
      </c>
      <c r="B1894" s="157" t="s">
        <v>433</v>
      </c>
      <c r="C1894" s="23">
        <f>22278.61+37962.29</f>
        <v>60240.9</v>
      </c>
      <c r="D1894" s="5"/>
    </row>
    <row r="1895" spans="1:4" ht="15.75">
      <c r="A1895" s="17" t="s">
        <v>623</v>
      </c>
      <c r="B1895" s="157" t="s">
        <v>416</v>
      </c>
      <c r="C1895" s="23">
        <f>13475.77+24719.56</f>
        <v>38195.33</v>
      </c>
      <c r="D1895" s="5"/>
    </row>
    <row r="1896" spans="1:4" ht="36">
      <c r="A1896" s="17">
        <v>3</v>
      </c>
      <c r="B1896" s="24" t="s">
        <v>625</v>
      </c>
      <c r="C1896" s="85">
        <f>C1897+C1899</f>
        <v>92393.2</v>
      </c>
      <c r="D1896" s="5"/>
    </row>
    <row r="1897" spans="1:4" ht="18.75">
      <c r="A1897" s="17" t="s">
        <v>417</v>
      </c>
      <c r="B1897" s="87" t="s">
        <v>626</v>
      </c>
      <c r="C1897" s="27">
        <f>C1898</f>
        <v>26491.5</v>
      </c>
      <c r="D1897" s="5"/>
    </row>
    <row r="1898" spans="1:4" ht="15.75">
      <c r="A1898" s="17" t="s">
        <v>419</v>
      </c>
      <c r="B1898" s="87" t="s">
        <v>713</v>
      </c>
      <c r="C1898" s="88">
        <f>450*58.87</f>
        <v>26491.5</v>
      </c>
      <c r="D1898" s="5"/>
    </row>
    <row r="1899" spans="1:4" ht="18.75">
      <c r="A1899" s="17" t="s">
        <v>421</v>
      </c>
      <c r="B1899" s="87" t="s">
        <v>630</v>
      </c>
      <c r="C1899" s="27">
        <f>C1900+C1901+C1902+C1903+C1904+C1905</f>
        <v>65901.7</v>
      </c>
      <c r="D1899" s="5"/>
    </row>
    <row r="1900" spans="1:4" ht="25.5">
      <c r="A1900" s="30" t="s">
        <v>423</v>
      </c>
      <c r="B1900" s="104" t="s">
        <v>424</v>
      </c>
      <c r="C1900" s="32">
        <v>15300.93</v>
      </c>
      <c r="D1900" s="5"/>
    </row>
    <row r="1901" spans="1:4" ht="12.75">
      <c r="A1901" s="30"/>
      <c r="B1901" s="160" t="s">
        <v>427</v>
      </c>
      <c r="C1901" s="32">
        <v>906.75</v>
      </c>
      <c r="D1901" s="5"/>
    </row>
    <row r="1902" spans="1:4" ht="12.75">
      <c r="A1902" s="17" t="s">
        <v>631</v>
      </c>
      <c r="B1902" s="159" t="s">
        <v>425</v>
      </c>
      <c r="C1902" s="34">
        <v>24.21</v>
      </c>
      <c r="D1902" s="5"/>
    </row>
    <row r="1903" spans="1:4" ht="12.75">
      <c r="A1903" s="30" t="s">
        <v>637</v>
      </c>
      <c r="B1903" s="159" t="s">
        <v>502</v>
      </c>
      <c r="C1903" s="34">
        <f>1.8*230*12</f>
        <v>4968</v>
      </c>
      <c r="D1903" s="5"/>
    </row>
    <row r="1904" spans="1:4" ht="12.75">
      <c r="A1904" s="30" t="s">
        <v>639</v>
      </c>
      <c r="B1904" s="159" t="s">
        <v>429</v>
      </c>
      <c r="C1904" s="34">
        <f>C1891*0.15</f>
        <v>8902.439999999999</v>
      </c>
      <c r="D1904" s="5"/>
    </row>
    <row r="1905" spans="1:4" ht="12.75">
      <c r="A1905" s="8" t="s">
        <v>641</v>
      </c>
      <c r="B1905" s="159" t="s">
        <v>436</v>
      </c>
      <c r="C1905" s="34">
        <v>35799.37</v>
      </c>
      <c r="D1905" s="5"/>
    </row>
    <row r="1906" spans="1:4" ht="12.75">
      <c r="A1906" s="8"/>
      <c r="B1906" s="176"/>
      <c r="C1906" s="96"/>
      <c r="D1906" s="5"/>
    </row>
    <row r="1907" spans="1:4" ht="30">
      <c r="A1907" s="8"/>
      <c r="B1907" s="45" t="s">
        <v>478</v>
      </c>
      <c r="C1907" s="46">
        <f>C1893-C1896</f>
        <v>6043.030000000013</v>
      </c>
      <c r="D1907" s="5"/>
    </row>
    <row r="1908" spans="1:4" ht="15.75">
      <c r="A1908" s="8"/>
      <c r="B1908" s="45" t="s">
        <v>479</v>
      </c>
      <c r="C1908" s="46">
        <v>4366.72</v>
      </c>
      <c r="D1908" s="5"/>
    </row>
    <row r="1909" spans="1:4" ht="15.75">
      <c r="A1909" s="8"/>
      <c r="B1909" s="45" t="s">
        <v>652</v>
      </c>
      <c r="C1909" s="46">
        <f>C1907+C1908</f>
        <v>10409.750000000015</v>
      </c>
      <c r="D1909" s="5"/>
    </row>
    <row r="1910" spans="1:4" ht="15.75">
      <c r="A1910" s="8"/>
      <c r="B1910" s="174" t="s">
        <v>503</v>
      </c>
      <c r="C1910" s="23">
        <v>25000</v>
      </c>
      <c r="D1910" s="5"/>
    </row>
    <row r="1911" spans="1:4" ht="15.75">
      <c r="A1911" s="8"/>
      <c r="B1911" s="45" t="s">
        <v>653</v>
      </c>
      <c r="C1911" s="46">
        <f>C1893-(C1889+C1890)</f>
        <v>-3489.8499999999767</v>
      </c>
      <c r="D1911" s="5"/>
    </row>
    <row r="1912" spans="1:4" ht="15.75">
      <c r="A1912" s="8"/>
      <c r="B1912" s="45" t="s">
        <v>654</v>
      </c>
      <c r="C1912" s="46">
        <v>-2312.77</v>
      </c>
      <c r="D1912" s="5"/>
    </row>
    <row r="1913" spans="1:4" ht="15.75">
      <c r="A1913" s="8"/>
      <c r="B1913" s="45" t="s">
        <v>726</v>
      </c>
      <c r="C1913" s="46">
        <v>-1176.78</v>
      </c>
      <c r="D1913" s="5"/>
    </row>
    <row r="1914" ht="51.75" customHeight="1"/>
    <row r="1915" spans="2:4" ht="15">
      <c r="B1915" s="196" t="s">
        <v>609</v>
      </c>
      <c r="C1915" s="196"/>
      <c r="D1915" s="196"/>
    </row>
    <row r="1916" spans="2:4" ht="15">
      <c r="B1916" s="197" t="s">
        <v>704</v>
      </c>
      <c r="C1916" s="197"/>
      <c r="D1916" s="1"/>
    </row>
    <row r="1917" spans="2:4" ht="18.75">
      <c r="B1917" s="198" t="s">
        <v>504</v>
      </c>
      <c r="C1917" s="198"/>
      <c r="D1917" s="198"/>
    </row>
    <row r="1918" spans="2:4" ht="15.75">
      <c r="B1918" s="199" t="s">
        <v>411</v>
      </c>
      <c r="C1918" s="199"/>
      <c r="D1918" s="199"/>
    </row>
    <row r="1919" spans="2:4" ht="15.75">
      <c r="B1919" s="2"/>
      <c r="C1919" s="2"/>
      <c r="D1919" s="2"/>
    </row>
    <row r="1920" spans="1:4" ht="14.25">
      <c r="A1920" s="8"/>
      <c r="B1920" s="155" t="s">
        <v>613</v>
      </c>
      <c r="C1920" s="156">
        <v>337</v>
      </c>
      <c r="D1920" s="5"/>
    </row>
    <row r="1921" spans="1:4" ht="12.75">
      <c r="A1921" s="8"/>
      <c r="B1921" s="11" t="s">
        <v>614</v>
      </c>
      <c r="C1921" s="12">
        <v>4.83</v>
      </c>
      <c r="D1921" s="13"/>
    </row>
    <row r="1922" spans="1:4" ht="12.75">
      <c r="A1922" s="8"/>
      <c r="B1922" s="14" t="s">
        <v>615</v>
      </c>
      <c r="C1922" s="12">
        <v>8.23</v>
      </c>
      <c r="D1922" s="13"/>
    </row>
    <row r="1923" spans="1:4" ht="18.75">
      <c r="A1923" s="17"/>
      <c r="B1923" s="15" t="s">
        <v>616</v>
      </c>
      <c r="C1923" s="16">
        <f>770.34+1313.23+273.2+521.79+127.05</f>
        <v>3005.61</v>
      </c>
      <c r="D1923" s="5"/>
    </row>
    <row r="1924" spans="1:4" ht="18.75">
      <c r="A1924" s="17" t="s">
        <v>412</v>
      </c>
      <c r="B1924" s="18" t="s">
        <v>617</v>
      </c>
      <c r="C1924" s="16">
        <f>C1925+C1926+C1927</f>
        <v>78975.72</v>
      </c>
      <c r="D1924" s="5"/>
    </row>
    <row r="1925" spans="1:4" ht="15">
      <c r="A1925" s="17" t="s">
        <v>706</v>
      </c>
      <c r="B1925" s="19" t="s">
        <v>413</v>
      </c>
      <c r="C1925" s="20">
        <f>19531.68+33280.6</f>
        <v>52812.28</v>
      </c>
      <c r="D1925" s="5"/>
    </row>
    <row r="1926" spans="1:4" ht="15">
      <c r="A1926" s="17" t="s">
        <v>708</v>
      </c>
      <c r="B1926" s="19" t="s">
        <v>709</v>
      </c>
      <c r="C1926" s="20">
        <f>8569.6+15684.84</f>
        <v>24254.440000000002</v>
      </c>
      <c r="D1926" s="5"/>
    </row>
    <row r="1927" spans="1:4" ht="15">
      <c r="A1927" s="17"/>
      <c r="B1927" s="19" t="s">
        <v>505</v>
      </c>
      <c r="C1927" s="20">
        <v>1909</v>
      </c>
      <c r="D1927" s="5"/>
    </row>
    <row r="1928" spans="1:4" ht="18">
      <c r="A1928" s="17" t="s">
        <v>414</v>
      </c>
      <c r="B1928" s="18" t="s">
        <v>620</v>
      </c>
      <c r="C1928" s="21">
        <f>C1929+C1930+C1931</f>
        <v>77580.04</v>
      </c>
      <c r="D1928" s="5"/>
    </row>
    <row r="1929" spans="1:4" ht="15.75">
      <c r="A1929" s="17" t="s">
        <v>621</v>
      </c>
      <c r="B1929" s="157" t="s">
        <v>433</v>
      </c>
      <c r="C1929" s="23">
        <f>19271.31+32837.51</f>
        <v>52108.82000000001</v>
      </c>
      <c r="D1929" s="5"/>
    </row>
    <row r="1930" spans="1:4" ht="15.75">
      <c r="A1930" s="17" t="s">
        <v>623</v>
      </c>
      <c r="B1930" s="157" t="s">
        <v>416</v>
      </c>
      <c r="C1930" s="23">
        <f>8332.71+15273</f>
        <v>23605.71</v>
      </c>
      <c r="D1930" s="5"/>
    </row>
    <row r="1931" spans="1:4" ht="15.75">
      <c r="A1931" s="17"/>
      <c r="B1931" s="102" t="s">
        <v>506</v>
      </c>
      <c r="C1931" s="23">
        <f>1865.51</f>
        <v>1865.51</v>
      </c>
      <c r="D1931" s="5"/>
    </row>
    <row r="1932" spans="1:4" ht="36">
      <c r="A1932" s="17">
        <v>3</v>
      </c>
      <c r="B1932" s="24" t="s">
        <v>625</v>
      </c>
      <c r="C1932" s="85">
        <f>C1933+C1936</f>
        <v>110308.33200000002</v>
      </c>
      <c r="D1932" s="5"/>
    </row>
    <row r="1933" spans="1:4" ht="18.75">
      <c r="A1933" s="17" t="s">
        <v>417</v>
      </c>
      <c r="B1933" s="87" t="s">
        <v>626</v>
      </c>
      <c r="C1933" s="27">
        <f>C1934+C1935</f>
        <v>24456.21</v>
      </c>
      <c r="D1933" s="5"/>
    </row>
    <row r="1934" spans="1:4" ht="15.75">
      <c r="A1934" s="17" t="s">
        <v>419</v>
      </c>
      <c r="B1934" s="87" t="s">
        <v>713</v>
      </c>
      <c r="C1934" s="88">
        <f>383*58.87</f>
        <v>22547.21</v>
      </c>
      <c r="D1934" s="5"/>
    </row>
    <row r="1935" spans="1:4" ht="15.75">
      <c r="A1935" s="17"/>
      <c r="B1935" s="87" t="s">
        <v>507</v>
      </c>
      <c r="C1935" s="88">
        <v>1909</v>
      </c>
      <c r="D1935" s="5"/>
    </row>
    <row r="1936" spans="1:4" ht="18.75">
      <c r="A1936" s="17" t="s">
        <v>421</v>
      </c>
      <c r="B1936" s="87" t="s">
        <v>630</v>
      </c>
      <c r="C1936" s="27">
        <f>C1937+C1938+C1939+C1940+C1941+C1942+C1944</f>
        <v>85852.12200000002</v>
      </c>
      <c r="D1936" s="5"/>
    </row>
    <row r="1937" spans="1:4" ht="25.5">
      <c r="A1937" s="30" t="s">
        <v>423</v>
      </c>
      <c r="B1937" s="104" t="s">
        <v>424</v>
      </c>
      <c r="C1937" s="32">
        <v>20185.06</v>
      </c>
      <c r="D1937" s="5"/>
    </row>
    <row r="1938" spans="1:4" ht="12.75">
      <c r="A1938" s="30"/>
      <c r="B1938" s="160" t="s">
        <v>427</v>
      </c>
      <c r="C1938" s="32">
        <v>538.47</v>
      </c>
      <c r="D1938" s="5"/>
    </row>
    <row r="1939" spans="1:4" ht="12.75">
      <c r="A1939" s="17" t="s">
        <v>631</v>
      </c>
      <c r="B1939" s="159" t="s">
        <v>425</v>
      </c>
      <c r="C1939" s="34">
        <v>23.65</v>
      </c>
      <c r="D1939" s="5"/>
    </row>
    <row r="1940" spans="1:4" ht="12.75">
      <c r="A1940" s="30" t="s">
        <v>637</v>
      </c>
      <c r="B1940" s="159" t="s">
        <v>508</v>
      </c>
      <c r="C1940" s="34">
        <f>1.8*230*7</f>
        <v>2898</v>
      </c>
      <c r="D1940" s="5"/>
    </row>
    <row r="1941" spans="1:4" ht="12.75">
      <c r="A1941" s="30" t="s">
        <v>639</v>
      </c>
      <c r="B1941" s="159" t="s">
        <v>429</v>
      </c>
      <c r="C1941" s="34">
        <f>C1925*0.15</f>
        <v>7921.842</v>
      </c>
      <c r="D1941" s="5"/>
    </row>
    <row r="1942" spans="1:4" ht="12.75">
      <c r="A1942" s="8" t="s">
        <v>641</v>
      </c>
      <c r="B1942" s="159" t="s">
        <v>436</v>
      </c>
      <c r="C1942" s="34">
        <v>40769.86</v>
      </c>
      <c r="D1942" s="5"/>
    </row>
    <row r="1943" spans="1:4" ht="12.75">
      <c r="A1943" s="8"/>
      <c r="B1943" s="176"/>
      <c r="C1943" s="96"/>
      <c r="D1943" s="5"/>
    </row>
    <row r="1944" spans="1:4" ht="24.75">
      <c r="A1944" s="8"/>
      <c r="B1944" s="177" t="s">
        <v>509</v>
      </c>
      <c r="C1944" s="46">
        <v>13515.24</v>
      </c>
      <c r="D1944" s="5"/>
    </row>
    <row r="1945" spans="1:4" ht="12.75">
      <c r="A1945" s="8"/>
      <c r="B1945" s="176"/>
      <c r="C1945" s="117"/>
      <c r="D1945" s="5"/>
    </row>
    <row r="1946" spans="1:4" ht="30">
      <c r="A1946" s="8"/>
      <c r="B1946" s="45" t="s">
        <v>478</v>
      </c>
      <c r="C1946" s="46">
        <f>C1928-C1932</f>
        <v>-32728.29200000003</v>
      </c>
      <c r="D1946" s="5"/>
    </row>
    <row r="1947" spans="1:4" ht="15.75">
      <c r="A1947" s="8"/>
      <c r="B1947" s="45" t="s">
        <v>479</v>
      </c>
      <c r="C1947" s="46">
        <v>23312.18</v>
      </c>
      <c r="D1947" s="5"/>
    </row>
    <row r="1948" spans="1:4" ht="15.75">
      <c r="A1948" s="8"/>
      <c r="B1948" s="45" t="s">
        <v>652</v>
      </c>
      <c r="C1948" s="46">
        <f>C1946+C1947</f>
        <v>-9416.11200000003</v>
      </c>
      <c r="D1948" s="5"/>
    </row>
    <row r="1949" spans="1:4" ht="15.75">
      <c r="A1949" s="8"/>
      <c r="B1949" s="83" t="s">
        <v>503</v>
      </c>
      <c r="C1949" s="23">
        <v>25000</v>
      </c>
      <c r="D1949" s="5"/>
    </row>
    <row r="1950" spans="1:4" ht="12.75">
      <c r="A1950" s="8"/>
      <c r="B1950" s="36"/>
      <c r="C1950" s="78"/>
      <c r="D1950" s="5"/>
    </row>
    <row r="1951" spans="1:4" ht="15.75">
      <c r="A1951" s="8"/>
      <c r="B1951" s="45" t="s">
        <v>653</v>
      </c>
      <c r="C1951" s="46">
        <f>C1928-(C1923+C1924)</f>
        <v>-4401.290000000008</v>
      </c>
      <c r="D1951" s="5"/>
    </row>
    <row r="1952" spans="1:4" ht="15.75">
      <c r="A1952" s="8"/>
      <c r="B1952" s="45" t="s">
        <v>654</v>
      </c>
      <c r="C1952" s="46">
        <v>-2787.03</v>
      </c>
      <c r="D1952" s="5"/>
    </row>
    <row r="1953" spans="1:4" ht="15.75">
      <c r="A1953" s="8"/>
      <c r="B1953" s="45" t="s">
        <v>726</v>
      </c>
      <c r="C1953" s="46">
        <v>-1443.72</v>
      </c>
      <c r="D1953" s="5"/>
    </row>
    <row r="1954" spans="1:3" ht="15.75">
      <c r="A1954" s="8"/>
      <c r="B1954" s="45" t="s">
        <v>510</v>
      </c>
      <c r="C1954" s="178">
        <v>-170.54</v>
      </c>
    </row>
    <row r="1955" ht="52.5" customHeight="1"/>
    <row r="1956" spans="2:4" ht="15">
      <c r="B1956" s="196" t="s">
        <v>609</v>
      </c>
      <c r="C1956" s="196"/>
      <c r="D1956" s="196"/>
    </row>
    <row r="1957" spans="2:4" ht="15">
      <c r="B1957" s="197" t="s">
        <v>704</v>
      </c>
      <c r="C1957" s="197"/>
      <c r="D1957" s="1"/>
    </row>
    <row r="1958" spans="2:4" ht="18.75">
      <c r="B1958" s="198" t="s">
        <v>511</v>
      </c>
      <c r="C1958" s="198"/>
      <c r="D1958" s="198"/>
    </row>
    <row r="1959" spans="2:4" ht="15.75">
      <c r="B1959" s="199" t="s">
        <v>411</v>
      </c>
      <c r="C1959" s="199"/>
      <c r="D1959" s="199"/>
    </row>
    <row r="1960" spans="2:4" ht="15.75">
      <c r="B1960" s="2"/>
      <c r="C1960" s="2"/>
      <c r="D1960" s="2"/>
    </row>
    <row r="1961" spans="1:4" ht="14.25">
      <c r="A1961" s="8"/>
      <c r="B1961" s="155" t="s">
        <v>613</v>
      </c>
      <c r="C1961" s="156">
        <v>1787.5</v>
      </c>
      <c r="D1961" s="5"/>
    </row>
    <row r="1962" spans="1:4" ht="12.75">
      <c r="A1962" s="8"/>
      <c r="B1962" s="11" t="s">
        <v>614</v>
      </c>
      <c r="C1962" s="12">
        <v>4.83</v>
      </c>
      <c r="D1962" s="13"/>
    </row>
    <row r="1963" spans="1:4" ht="12.75">
      <c r="A1963" s="8"/>
      <c r="B1963" s="14" t="s">
        <v>615</v>
      </c>
      <c r="C1963" s="12">
        <v>8.23</v>
      </c>
      <c r="D1963" s="13"/>
    </row>
    <row r="1964" spans="1:4" ht="18.75">
      <c r="A1964" s="17"/>
      <c r="B1964" s="15" t="s">
        <v>616</v>
      </c>
      <c r="C1964" s="16">
        <f>11665.52+19889.03+90586.12+5302.68+10143.06</f>
        <v>137586.41</v>
      </c>
      <c r="D1964" s="5"/>
    </row>
    <row r="1965" spans="1:4" ht="18.75">
      <c r="A1965" s="17" t="s">
        <v>412</v>
      </c>
      <c r="B1965" s="18" t="s">
        <v>617</v>
      </c>
      <c r="C1965" s="16">
        <f>C1966+C1967+C1968</f>
        <v>1111051.88</v>
      </c>
      <c r="D1965" s="5"/>
    </row>
    <row r="1966" spans="1:4" ht="15">
      <c r="A1966" s="17" t="s">
        <v>706</v>
      </c>
      <c r="B1966" s="19" t="s">
        <v>413</v>
      </c>
      <c r="C1966" s="20">
        <f>103603.79+176533.8</f>
        <v>280137.58999999997</v>
      </c>
      <c r="D1966" s="5"/>
    </row>
    <row r="1967" spans="1:4" ht="15">
      <c r="A1967" s="17" t="s">
        <v>708</v>
      </c>
      <c r="B1967" s="19" t="s">
        <v>709</v>
      </c>
      <c r="C1967" s="20">
        <f>66357.5+121441.62</f>
        <v>187799.12</v>
      </c>
      <c r="D1967" s="5"/>
    </row>
    <row r="1968" spans="1:4" ht="15">
      <c r="A1968" s="17"/>
      <c r="B1968" s="19" t="s">
        <v>710</v>
      </c>
      <c r="C1968" s="20">
        <v>643115.17</v>
      </c>
      <c r="D1968" s="5"/>
    </row>
    <row r="1969" spans="1:4" ht="18">
      <c r="A1969" s="17" t="s">
        <v>414</v>
      </c>
      <c r="B1969" s="18" t="s">
        <v>620</v>
      </c>
      <c r="C1969" s="21">
        <f>C1970+C1971+C1972</f>
        <v>1087816.21</v>
      </c>
      <c r="D1969" s="5"/>
    </row>
    <row r="1970" spans="1:4" ht="15.75">
      <c r="A1970" s="17" t="s">
        <v>621</v>
      </c>
      <c r="B1970" s="157" t="s">
        <v>433</v>
      </c>
      <c r="C1970" s="23">
        <f>99397.6+169375.14</f>
        <v>268772.74</v>
      </c>
      <c r="D1970" s="5"/>
    </row>
    <row r="1971" spans="1:4" ht="15.75">
      <c r="A1971" s="17" t="s">
        <v>623</v>
      </c>
      <c r="B1971" s="157" t="s">
        <v>416</v>
      </c>
      <c r="C1971" s="23">
        <f>64255.19+117969.38</f>
        <v>182224.57</v>
      </c>
      <c r="D1971" s="5"/>
    </row>
    <row r="1972" spans="1:4" ht="15.75">
      <c r="A1972" s="17"/>
      <c r="B1972" s="102" t="s">
        <v>512</v>
      </c>
      <c r="C1972" s="23">
        <v>636818.9</v>
      </c>
      <c r="D1972" s="5"/>
    </row>
    <row r="1973" spans="1:4" ht="36">
      <c r="A1973" s="17">
        <v>3</v>
      </c>
      <c r="B1973" s="24" t="s">
        <v>625</v>
      </c>
      <c r="C1973" s="85">
        <f>C1974+C1977</f>
        <v>1020632.4785000001</v>
      </c>
      <c r="D1973" s="5"/>
    </row>
    <row r="1974" spans="1:4" ht="18.75">
      <c r="A1974" s="17" t="s">
        <v>417</v>
      </c>
      <c r="B1974" s="87" t="s">
        <v>626</v>
      </c>
      <c r="C1974" s="27">
        <f>C1975+C1976</f>
        <v>855871.3500000001</v>
      </c>
      <c r="D1974" s="5"/>
    </row>
    <row r="1975" spans="1:4" ht="15.75">
      <c r="A1975" s="17" t="s">
        <v>419</v>
      </c>
      <c r="B1975" s="87" t="s">
        <v>713</v>
      </c>
      <c r="C1975" s="88">
        <f>3614*58.87</f>
        <v>212756.18</v>
      </c>
      <c r="D1975" s="5"/>
    </row>
    <row r="1976" spans="1:4" ht="15.75">
      <c r="A1976" s="17"/>
      <c r="B1976" s="87" t="s">
        <v>513</v>
      </c>
      <c r="C1976" s="88">
        <v>643115.17</v>
      </c>
      <c r="D1976" s="5"/>
    </row>
    <row r="1977" spans="1:4" ht="18.75">
      <c r="A1977" s="17" t="s">
        <v>421</v>
      </c>
      <c r="B1977" s="87" t="s">
        <v>630</v>
      </c>
      <c r="C1977" s="27">
        <f>C1978+C1979+C1980+C1981+C1982+C1983+C1984+C1985+C1986</f>
        <v>164761.1285</v>
      </c>
      <c r="D1977" s="5"/>
    </row>
    <row r="1978" spans="1:4" ht="25.5">
      <c r="A1978" s="30" t="s">
        <v>423</v>
      </c>
      <c r="B1978" s="104" t="s">
        <v>424</v>
      </c>
      <c r="C1978" s="32">
        <v>34659.21</v>
      </c>
      <c r="D1978" s="5"/>
    </row>
    <row r="1979" spans="1:4" ht="12.75">
      <c r="A1979" s="30"/>
      <c r="B1979" s="160" t="s">
        <v>427</v>
      </c>
      <c r="C1979" s="32">
        <v>6213.33</v>
      </c>
      <c r="D1979" s="5"/>
    </row>
    <row r="1980" spans="1:4" ht="12.75">
      <c r="A1980" s="30"/>
      <c r="B1980" s="160" t="s">
        <v>514</v>
      </c>
      <c r="C1980" s="32">
        <v>55737.53</v>
      </c>
      <c r="D1980" s="5"/>
    </row>
    <row r="1981" spans="1:4" ht="12.75">
      <c r="A1981" s="17" t="s">
        <v>631</v>
      </c>
      <c r="B1981" s="159" t="s">
        <v>425</v>
      </c>
      <c r="C1981" s="34">
        <v>53.67</v>
      </c>
      <c r="D1981" s="5"/>
    </row>
    <row r="1982" spans="1:4" ht="12.75">
      <c r="A1982" s="30" t="s">
        <v>637</v>
      </c>
      <c r="B1982" s="159" t="s">
        <v>515</v>
      </c>
      <c r="C1982" s="34">
        <f>6.4*230*12</f>
        <v>17664</v>
      </c>
      <c r="D1982" s="5"/>
    </row>
    <row r="1983" spans="1:4" ht="12.75">
      <c r="A1983" s="30"/>
      <c r="B1983" s="37" t="s">
        <v>516</v>
      </c>
      <c r="C1983" s="34">
        <f>250+310</f>
        <v>560</v>
      </c>
      <c r="D1983" s="5"/>
    </row>
    <row r="1984" spans="1:4" ht="12.75">
      <c r="A1984" s="30"/>
      <c r="B1984" s="94" t="s">
        <v>517</v>
      </c>
      <c r="C1984" s="91">
        <f>40*(119.5+56.3)+250</f>
        <v>7282</v>
      </c>
      <c r="D1984" s="5"/>
    </row>
    <row r="1985" spans="1:4" ht="12.75">
      <c r="A1985" s="30" t="s">
        <v>639</v>
      </c>
      <c r="B1985" s="159" t="s">
        <v>429</v>
      </c>
      <c r="C1985" s="34">
        <f>C1966*0.15</f>
        <v>42020.638499999994</v>
      </c>
      <c r="D1985" s="5"/>
    </row>
    <row r="1986" spans="1:4" ht="12.75">
      <c r="A1986" s="8" t="s">
        <v>641</v>
      </c>
      <c r="B1986" s="159" t="s">
        <v>436</v>
      </c>
      <c r="C1986" s="34">
        <v>570.75</v>
      </c>
      <c r="D1986" s="5"/>
    </row>
    <row r="1987" spans="1:4" ht="12.75">
      <c r="A1987" s="8"/>
      <c r="B1987" s="176"/>
      <c r="C1987" s="117"/>
      <c r="D1987" s="5"/>
    </row>
    <row r="1988" spans="1:4" ht="30">
      <c r="A1988" s="8"/>
      <c r="B1988" s="45" t="s">
        <v>478</v>
      </c>
      <c r="C1988" s="46">
        <f>C1969-C1973</f>
        <v>67183.73149999988</v>
      </c>
      <c r="D1988" s="5"/>
    </row>
    <row r="1989" spans="1:4" ht="15.75">
      <c r="A1989" s="8"/>
      <c r="B1989" s="45" t="s">
        <v>479</v>
      </c>
      <c r="C1989" s="46">
        <v>-107102.95</v>
      </c>
      <c r="D1989" s="5"/>
    </row>
    <row r="1990" spans="1:4" ht="15.75">
      <c r="A1990" s="8"/>
      <c r="B1990" s="45" t="s">
        <v>652</v>
      </c>
      <c r="C1990" s="46">
        <f>C1988+C1989</f>
        <v>-39919.21850000012</v>
      </c>
      <c r="D1990" s="5"/>
    </row>
    <row r="1991" spans="1:4" ht="15.75">
      <c r="A1991" s="8"/>
      <c r="B1991" s="83"/>
      <c r="C1991" s="23"/>
      <c r="D1991" s="5"/>
    </row>
    <row r="1992" spans="1:4" ht="15.75">
      <c r="A1992" s="8"/>
      <c r="B1992" s="45" t="s">
        <v>653</v>
      </c>
      <c r="C1992" s="46">
        <f>C1969-(C1964+C1965)</f>
        <v>-160822.07999999984</v>
      </c>
      <c r="D1992" s="5"/>
    </row>
    <row r="1993" spans="1:4" ht="15.75">
      <c r="A1993" s="8"/>
      <c r="B1993" s="45" t="s">
        <v>654</v>
      </c>
      <c r="C1993" s="46">
        <v>-42919.4</v>
      </c>
      <c r="D1993" s="5"/>
    </row>
    <row r="1994" spans="1:4" ht="15.75">
      <c r="A1994" s="8"/>
      <c r="B1994" s="45" t="s">
        <v>726</v>
      </c>
      <c r="C1994" s="46">
        <v>-21020.29</v>
      </c>
      <c r="D1994" s="5"/>
    </row>
    <row r="1995" spans="1:3" ht="15.75">
      <c r="A1995" s="8"/>
      <c r="B1995" s="45" t="s">
        <v>727</v>
      </c>
      <c r="C1995" s="178">
        <v>-96882.39</v>
      </c>
    </row>
    <row r="1997" ht="12.75">
      <c r="B1997" t="s">
        <v>531</v>
      </c>
    </row>
    <row r="1998" ht="12.75">
      <c r="B1998" t="s">
        <v>532</v>
      </c>
    </row>
    <row r="1999" spans="2:3" ht="12.75">
      <c r="B1999" t="s">
        <v>533</v>
      </c>
      <c r="C1999" s="112">
        <f>3614*58.87</f>
        <v>212756.18</v>
      </c>
    </row>
    <row r="2000" spans="2:3" ht="12.75">
      <c r="B2000" t="s">
        <v>534</v>
      </c>
      <c r="C2000" s="113">
        <f>3190.98*58.87</f>
        <v>187852.9926</v>
      </c>
    </row>
    <row r="2001" spans="2:3" ht="15">
      <c r="B2001" s="114" t="s">
        <v>535</v>
      </c>
      <c r="C2001" s="115">
        <f>C1999-C2000</f>
        <v>24903.187399999995</v>
      </c>
    </row>
    <row r="2002" ht="53.25" customHeight="1"/>
    <row r="2003" spans="2:4" ht="15">
      <c r="B2003" s="196" t="s">
        <v>609</v>
      </c>
      <c r="C2003" s="196"/>
      <c r="D2003" s="196"/>
    </row>
    <row r="2004" spans="2:4" ht="15">
      <c r="B2004" s="197" t="s">
        <v>704</v>
      </c>
      <c r="C2004" s="197"/>
      <c r="D2004" s="1"/>
    </row>
    <row r="2005" spans="2:4" ht="18.75">
      <c r="B2005" s="198" t="s">
        <v>536</v>
      </c>
      <c r="C2005" s="198"/>
      <c r="D2005" s="198"/>
    </row>
    <row r="2006" spans="2:4" ht="15.75">
      <c r="B2006" s="199" t="s">
        <v>411</v>
      </c>
      <c r="C2006" s="199"/>
      <c r="D2006" s="199"/>
    </row>
    <row r="2007" spans="2:4" ht="15.75">
      <c r="B2007" s="2"/>
      <c r="C2007" s="2"/>
      <c r="D2007" s="2"/>
    </row>
    <row r="2008" spans="1:4" ht="14.25">
      <c r="A2008" s="8"/>
      <c r="B2008" s="155" t="s">
        <v>613</v>
      </c>
      <c r="C2008" s="156">
        <v>461.7</v>
      </c>
      <c r="D2008" s="5"/>
    </row>
    <row r="2009" spans="1:4" ht="12.75">
      <c r="A2009" s="8"/>
      <c r="B2009" s="11" t="s">
        <v>614</v>
      </c>
      <c r="C2009" s="12">
        <v>4.28</v>
      </c>
      <c r="D2009" s="13"/>
    </row>
    <row r="2010" spans="1:4" ht="12.75">
      <c r="A2010" s="8"/>
      <c r="B2010" s="14" t="s">
        <v>615</v>
      </c>
      <c r="C2010" s="12">
        <v>7.34</v>
      </c>
      <c r="D2010" s="13"/>
    </row>
    <row r="2011" spans="1:4" ht="18.75">
      <c r="A2011" s="17"/>
      <c r="B2011" s="15" t="s">
        <v>616</v>
      </c>
      <c r="C2011" s="16">
        <f>3712.51+6451.48+8468.56+16507.91</f>
        <v>35140.46</v>
      </c>
      <c r="D2011" s="5"/>
    </row>
    <row r="2012" spans="1:4" ht="18.75">
      <c r="A2012" s="17" t="s">
        <v>412</v>
      </c>
      <c r="B2012" s="18" t="s">
        <v>617</v>
      </c>
      <c r="C2012" s="16">
        <f>C2013+C2014</f>
        <v>121661.44</v>
      </c>
      <c r="D2012" s="5"/>
    </row>
    <row r="2013" spans="1:4" ht="15">
      <c r="A2013" s="17" t="s">
        <v>706</v>
      </c>
      <c r="B2013" s="19" t="s">
        <v>413</v>
      </c>
      <c r="C2013" s="20">
        <f>23712.72+40666.68</f>
        <v>64379.4</v>
      </c>
      <c r="D2013" s="5"/>
    </row>
    <row r="2014" spans="1:4" ht="15">
      <c r="A2014" s="17" t="s">
        <v>708</v>
      </c>
      <c r="B2014" s="19" t="s">
        <v>709</v>
      </c>
      <c r="C2014" s="20">
        <f>20238.16+37043.88</f>
        <v>57282.03999999999</v>
      </c>
      <c r="D2014" s="5"/>
    </row>
    <row r="2015" spans="1:4" ht="18">
      <c r="A2015" s="17" t="s">
        <v>414</v>
      </c>
      <c r="B2015" s="18" t="s">
        <v>620</v>
      </c>
      <c r="C2015" s="21">
        <f>C2016+C2017</f>
        <v>100814.91</v>
      </c>
      <c r="D2015" s="5"/>
    </row>
    <row r="2016" spans="1:4" ht="15.75">
      <c r="A2016" s="17" t="s">
        <v>621</v>
      </c>
      <c r="B2016" s="157" t="s">
        <v>433</v>
      </c>
      <c r="C2016" s="23">
        <f>21746.18+37306.51</f>
        <v>59052.69</v>
      </c>
      <c r="D2016" s="5"/>
    </row>
    <row r="2017" spans="1:4" ht="15.75">
      <c r="A2017" s="17" t="s">
        <v>623</v>
      </c>
      <c r="B2017" s="157" t="s">
        <v>416</v>
      </c>
      <c r="C2017" s="23">
        <f>14674.8+27087.42</f>
        <v>41762.22</v>
      </c>
      <c r="D2017" s="5"/>
    </row>
    <row r="2018" spans="1:4" ht="36">
      <c r="A2018" s="17">
        <v>3</v>
      </c>
      <c r="B2018" s="24" t="s">
        <v>625</v>
      </c>
      <c r="C2018" s="85">
        <f>C2019+C2021</f>
        <v>121852.22</v>
      </c>
      <c r="D2018" s="5"/>
    </row>
    <row r="2019" spans="1:4" ht="18.75">
      <c r="A2019" s="17" t="s">
        <v>417</v>
      </c>
      <c r="B2019" s="87" t="s">
        <v>626</v>
      </c>
      <c r="C2019" s="27">
        <f>C2020</f>
        <v>52983</v>
      </c>
      <c r="D2019" s="5"/>
    </row>
    <row r="2020" spans="1:4" ht="15.75">
      <c r="A2020" s="17" t="s">
        <v>419</v>
      </c>
      <c r="B2020" s="87" t="s">
        <v>713</v>
      </c>
      <c r="C2020" s="88">
        <f>900*58.87</f>
        <v>52983</v>
      </c>
      <c r="D2020" s="5"/>
    </row>
    <row r="2021" spans="1:4" ht="18.75">
      <c r="A2021" s="17" t="s">
        <v>421</v>
      </c>
      <c r="B2021" s="87" t="s">
        <v>630</v>
      </c>
      <c r="C2021" s="27">
        <f>C2022+C2023+C2024+C2025+C2026+C2027+C2028</f>
        <v>68869.22</v>
      </c>
      <c r="D2021" s="5"/>
    </row>
    <row r="2022" spans="1:4" ht="25.5">
      <c r="A2022" s="30" t="s">
        <v>423</v>
      </c>
      <c r="B2022" s="104" t="s">
        <v>424</v>
      </c>
      <c r="C2022" s="32">
        <v>14678.45</v>
      </c>
      <c r="D2022" s="5"/>
    </row>
    <row r="2023" spans="1:4" ht="12.75">
      <c r="A2023" s="30"/>
      <c r="B2023" s="160" t="s">
        <v>427</v>
      </c>
      <c r="C2023" s="32">
        <v>2896.02</v>
      </c>
      <c r="D2023" s="5"/>
    </row>
    <row r="2024" spans="1:4" ht="12.75">
      <c r="A2024" s="17" t="s">
        <v>631</v>
      </c>
      <c r="B2024" s="159" t="s">
        <v>425</v>
      </c>
      <c r="C2024" s="34">
        <v>32.71</v>
      </c>
      <c r="D2024" s="5"/>
    </row>
    <row r="2025" spans="1:4" ht="12.75">
      <c r="A2025" s="17"/>
      <c r="B2025" s="160" t="s">
        <v>537</v>
      </c>
      <c r="C2025" s="34">
        <v>10252.89</v>
      </c>
      <c r="D2025" s="5"/>
    </row>
    <row r="2026" spans="1:4" ht="12.75">
      <c r="A2026" s="30" t="s">
        <v>637</v>
      </c>
      <c r="B2026" s="159" t="s">
        <v>538</v>
      </c>
      <c r="C2026" s="34">
        <f>2.5*230*12</f>
        <v>6900</v>
      </c>
      <c r="D2026" s="5"/>
    </row>
    <row r="2027" spans="1:4" ht="12.75">
      <c r="A2027" s="30" t="s">
        <v>639</v>
      </c>
      <c r="B2027" s="159" t="s">
        <v>429</v>
      </c>
      <c r="C2027" s="34">
        <f>C2013*0.15</f>
        <v>9656.91</v>
      </c>
      <c r="D2027" s="5"/>
    </row>
    <row r="2028" spans="1:4" ht="12.75">
      <c r="A2028" s="8" t="s">
        <v>641</v>
      </c>
      <c r="B2028" s="159" t="s">
        <v>436</v>
      </c>
      <c r="C2028" s="34">
        <v>24452.24</v>
      </c>
      <c r="D2028" s="5"/>
    </row>
    <row r="2029" spans="1:4" ht="12.75">
      <c r="A2029" s="8"/>
      <c r="B2029" s="176"/>
      <c r="C2029" s="96"/>
      <c r="D2029" s="5"/>
    </row>
    <row r="2030" spans="1:4" ht="30">
      <c r="A2030" s="8"/>
      <c r="B2030" s="45" t="s">
        <v>478</v>
      </c>
      <c r="C2030" s="46">
        <f>C2015-C2018</f>
        <v>-21037.309999999998</v>
      </c>
      <c r="D2030" s="5"/>
    </row>
    <row r="2031" spans="1:4" ht="15.75">
      <c r="A2031" s="8"/>
      <c r="B2031" s="45" t="s">
        <v>479</v>
      </c>
      <c r="C2031" s="46">
        <v>-36434.8</v>
      </c>
      <c r="D2031" s="5"/>
    </row>
    <row r="2032" spans="1:4" ht="15.75">
      <c r="A2032" s="8"/>
      <c r="B2032" s="45" t="s">
        <v>652</v>
      </c>
      <c r="C2032" s="46">
        <f>C2030+C2031</f>
        <v>-57472.11</v>
      </c>
      <c r="D2032" s="5"/>
    </row>
    <row r="2033" spans="1:4" ht="15.75">
      <c r="A2033" s="8"/>
      <c r="B2033" s="174"/>
      <c r="C2033" s="23"/>
      <c r="D2033" s="5"/>
    </row>
    <row r="2034" spans="1:4" ht="15.75">
      <c r="A2034" s="8"/>
      <c r="B2034" s="45" t="s">
        <v>653</v>
      </c>
      <c r="C2034" s="46">
        <f>C2015-(C2011+C2012)</f>
        <v>-55986.98999999999</v>
      </c>
      <c r="D2034" s="5"/>
    </row>
    <row r="2035" spans="1:4" ht="15.75">
      <c r="A2035" s="8"/>
      <c r="B2035" s="45" t="s">
        <v>654</v>
      </c>
      <c r="C2035" s="46">
        <v>-15490.7</v>
      </c>
      <c r="D2035" s="5"/>
    </row>
    <row r="2036" spans="1:4" ht="15.75">
      <c r="A2036" s="8"/>
      <c r="B2036" s="45" t="s">
        <v>726</v>
      </c>
      <c r="C2036" s="46">
        <v>-40496.29</v>
      </c>
      <c r="D2036" s="5"/>
    </row>
    <row r="2037" ht="52.5" customHeight="1"/>
    <row r="2038" spans="2:4" ht="15">
      <c r="B2038" s="196" t="s">
        <v>609</v>
      </c>
      <c r="C2038" s="196"/>
      <c r="D2038" s="196"/>
    </row>
    <row r="2039" spans="2:4" ht="15">
      <c r="B2039" s="197" t="s">
        <v>704</v>
      </c>
      <c r="C2039" s="197"/>
      <c r="D2039" s="1"/>
    </row>
    <row r="2040" spans="2:4" ht="18.75">
      <c r="B2040" s="198" t="s">
        <v>539</v>
      </c>
      <c r="C2040" s="198"/>
      <c r="D2040" s="198"/>
    </row>
    <row r="2041" spans="2:4" ht="15.75">
      <c r="B2041" s="199" t="s">
        <v>411</v>
      </c>
      <c r="C2041" s="199"/>
      <c r="D2041" s="199"/>
    </row>
    <row r="2042" spans="2:4" ht="15.75">
      <c r="B2042" s="2"/>
      <c r="C2042" s="2"/>
      <c r="D2042" s="2"/>
    </row>
    <row r="2043" spans="1:4" ht="14.25">
      <c r="A2043" s="8"/>
      <c r="B2043" s="155" t="s">
        <v>613</v>
      </c>
      <c r="C2043" s="156">
        <v>461.7</v>
      </c>
      <c r="D2043" s="5"/>
    </row>
    <row r="2044" spans="1:4" ht="12.75">
      <c r="A2044" s="8"/>
      <c r="B2044" s="11" t="s">
        <v>614</v>
      </c>
      <c r="C2044" s="12">
        <v>4.83</v>
      </c>
      <c r="D2044" s="13"/>
    </row>
    <row r="2045" spans="1:4" ht="12.75">
      <c r="A2045" s="8"/>
      <c r="B2045" s="14" t="s">
        <v>615</v>
      </c>
      <c r="C2045" s="12">
        <v>8.23</v>
      </c>
      <c r="D2045" s="13"/>
    </row>
    <row r="2046" spans="1:4" ht="18.75">
      <c r="A2046" s="17"/>
      <c r="B2046" s="15" t="s">
        <v>616</v>
      </c>
      <c r="C2046" s="16">
        <f>1410.94+999.34+1908.73+2405.24</f>
        <v>6724.25</v>
      </c>
      <c r="D2046" s="5"/>
    </row>
    <row r="2047" spans="1:4" ht="18.75">
      <c r="A2047" s="17" t="s">
        <v>412</v>
      </c>
      <c r="B2047" s="18" t="s">
        <v>617</v>
      </c>
      <c r="C2047" s="16">
        <f>C2048+C2049</f>
        <v>161583.97999999998</v>
      </c>
      <c r="D2047" s="5"/>
    </row>
    <row r="2048" spans="1:4" ht="15">
      <c r="A2048" s="17" t="s">
        <v>706</v>
      </c>
      <c r="B2048" s="19" t="s">
        <v>413</v>
      </c>
      <c r="C2048" s="20">
        <f>39859.32+67917.48</f>
        <v>107776.79999999999</v>
      </c>
      <c r="D2048" s="5"/>
    </row>
    <row r="2049" spans="1:4" ht="15">
      <c r="A2049" s="17" t="s">
        <v>708</v>
      </c>
      <c r="B2049" s="19" t="s">
        <v>709</v>
      </c>
      <c r="C2049" s="20">
        <f>19011.2+34795.98</f>
        <v>53807.18000000001</v>
      </c>
      <c r="D2049" s="5"/>
    </row>
    <row r="2050" spans="1:4" ht="18">
      <c r="A2050" s="17" t="s">
        <v>414</v>
      </c>
      <c r="B2050" s="18" t="s">
        <v>620</v>
      </c>
      <c r="C2050" s="21">
        <f>C2051+C2052</f>
        <v>157118.06999999998</v>
      </c>
      <c r="D2050" s="5"/>
    </row>
    <row r="2051" spans="1:4" ht="15.75">
      <c r="A2051" s="17" t="s">
        <v>621</v>
      </c>
      <c r="B2051" s="157" t="s">
        <v>433</v>
      </c>
      <c r="C2051" s="23">
        <f>38858.35+66212.92</f>
        <v>105071.26999999999</v>
      </c>
      <c r="D2051" s="5"/>
    </row>
    <row r="2052" spans="1:4" ht="15.75">
      <c r="A2052" s="17" t="s">
        <v>623</v>
      </c>
      <c r="B2052" s="157" t="s">
        <v>416</v>
      </c>
      <c r="C2052" s="23">
        <f>18361.1+33685.7</f>
        <v>52046.799999999996</v>
      </c>
      <c r="D2052" s="5"/>
    </row>
    <row r="2053" spans="1:4" ht="36">
      <c r="A2053" s="17">
        <v>3</v>
      </c>
      <c r="B2053" s="24" t="s">
        <v>625</v>
      </c>
      <c r="C2053" s="85">
        <f>C2054+C2056</f>
        <v>148320.42</v>
      </c>
      <c r="D2053" s="5"/>
    </row>
    <row r="2054" spans="1:4" ht="18.75">
      <c r="A2054" s="17" t="s">
        <v>417</v>
      </c>
      <c r="B2054" s="87" t="s">
        <v>626</v>
      </c>
      <c r="C2054" s="27">
        <f>C2055</f>
        <v>53983.79</v>
      </c>
      <c r="D2054" s="5"/>
    </row>
    <row r="2055" spans="1:4" ht="15.75">
      <c r="A2055" s="17" t="s">
        <v>419</v>
      </c>
      <c r="B2055" s="87" t="s">
        <v>713</v>
      </c>
      <c r="C2055" s="88">
        <f>917*58.87</f>
        <v>53983.79</v>
      </c>
      <c r="D2055" s="5"/>
    </row>
    <row r="2056" spans="1:4" ht="18.75">
      <c r="A2056" s="17" t="s">
        <v>421</v>
      </c>
      <c r="B2056" s="87" t="s">
        <v>630</v>
      </c>
      <c r="C2056" s="27">
        <f>C2057+C2058+C2059+C2060+C2061+C2062+C2063+C2064</f>
        <v>94336.63</v>
      </c>
      <c r="D2056" s="5"/>
    </row>
    <row r="2057" spans="1:4" ht="25.5">
      <c r="A2057" s="30" t="s">
        <v>423</v>
      </c>
      <c r="B2057" s="104" t="s">
        <v>424</v>
      </c>
      <c r="C2057" s="32">
        <v>16252.08</v>
      </c>
      <c r="D2057" s="5"/>
    </row>
    <row r="2058" spans="1:4" ht="12.75">
      <c r="A2058" s="30"/>
      <c r="B2058" s="160" t="s">
        <v>427</v>
      </c>
      <c r="C2058" s="32">
        <v>2098.08</v>
      </c>
      <c r="D2058" s="5"/>
    </row>
    <row r="2059" spans="1:4" ht="12.75">
      <c r="A2059" s="17" t="s">
        <v>631</v>
      </c>
      <c r="B2059" s="159" t="s">
        <v>425</v>
      </c>
      <c r="C2059" s="34">
        <v>32.71</v>
      </c>
      <c r="D2059" s="5"/>
    </row>
    <row r="2060" spans="1:4" ht="12.75">
      <c r="A2060" s="17"/>
      <c r="B2060" s="160" t="s">
        <v>537</v>
      </c>
      <c r="C2060" s="34">
        <v>28351.23</v>
      </c>
      <c r="D2060" s="5"/>
    </row>
    <row r="2061" spans="1:4" ht="12.75">
      <c r="A2061" s="30" t="s">
        <v>637</v>
      </c>
      <c r="B2061" s="159" t="s">
        <v>540</v>
      </c>
      <c r="C2061" s="34">
        <f>2.9*230*12</f>
        <v>8004</v>
      </c>
      <c r="D2061" s="5"/>
    </row>
    <row r="2062" spans="1:4" ht="12.75">
      <c r="A2062" s="30"/>
      <c r="B2062" s="94" t="s">
        <v>541</v>
      </c>
      <c r="C2062" s="91">
        <f>16*(119.5+56.3)+250</f>
        <v>3062.8</v>
      </c>
      <c r="D2062" s="5"/>
    </row>
    <row r="2063" spans="1:4" ht="12.75">
      <c r="A2063" s="30" t="s">
        <v>639</v>
      </c>
      <c r="B2063" s="159" t="s">
        <v>429</v>
      </c>
      <c r="C2063" s="34">
        <f>C2048*0.15</f>
        <v>16166.519999999997</v>
      </c>
      <c r="D2063" s="5"/>
    </row>
    <row r="2064" spans="1:4" ht="12.75">
      <c r="A2064" s="8" t="s">
        <v>641</v>
      </c>
      <c r="B2064" s="159" t="s">
        <v>436</v>
      </c>
      <c r="C2064" s="34">
        <v>20369.21</v>
      </c>
      <c r="D2064" s="5"/>
    </row>
    <row r="2065" spans="1:4" ht="12.75">
      <c r="A2065" s="8"/>
      <c r="B2065" s="37"/>
      <c r="C2065" s="167"/>
      <c r="D2065" s="5"/>
    </row>
    <row r="2066" spans="1:4" ht="30">
      <c r="A2066" s="8"/>
      <c r="B2066" s="45" t="s">
        <v>478</v>
      </c>
      <c r="C2066" s="46">
        <f>C2050-C2053</f>
        <v>8797.649999999965</v>
      </c>
      <c r="D2066" s="5"/>
    </row>
    <row r="2067" spans="1:4" ht="15.75">
      <c r="A2067" s="8"/>
      <c r="B2067" s="45" t="s">
        <v>479</v>
      </c>
      <c r="C2067" s="46">
        <v>12098.43</v>
      </c>
      <c r="D2067" s="5"/>
    </row>
    <row r="2068" spans="1:4" ht="15.75">
      <c r="A2068" s="8"/>
      <c r="B2068" s="45" t="s">
        <v>652</v>
      </c>
      <c r="C2068" s="46">
        <f>C2066+C2067</f>
        <v>20896.079999999965</v>
      </c>
      <c r="D2068" s="5"/>
    </row>
    <row r="2069" spans="1:4" ht="15.75">
      <c r="A2069" s="8"/>
      <c r="B2069" s="174"/>
      <c r="C2069" s="23"/>
      <c r="D2069" s="5"/>
    </row>
    <row r="2070" spans="1:4" ht="15.75">
      <c r="A2070" s="8"/>
      <c r="B2070" s="45" t="s">
        <v>653</v>
      </c>
      <c r="C2070" s="46">
        <f>C2050-(C2046+C2047)</f>
        <v>-11190.160000000003</v>
      </c>
      <c r="D2070" s="5"/>
    </row>
    <row r="2071" spans="1:4" ht="15.75">
      <c r="A2071" s="8"/>
      <c r="B2071" s="45" t="s">
        <v>654</v>
      </c>
      <c r="C2071" s="46">
        <v>-6521.71</v>
      </c>
      <c r="D2071" s="5"/>
    </row>
    <row r="2072" spans="1:4" ht="15.75">
      <c r="A2072" s="8"/>
      <c r="B2072" s="45" t="s">
        <v>726</v>
      </c>
      <c r="C2072" s="46">
        <v>-4668.45</v>
      </c>
      <c r="D2072" s="5"/>
    </row>
    <row r="2073" ht="53.25" customHeight="1"/>
    <row r="2074" spans="2:4" ht="15">
      <c r="B2074" s="196" t="s">
        <v>609</v>
      </c>
      <c r="C2074" s="196"/>
      <c r="D2074" s="196"/>
    </row>
    <row r="2075" spans="2:4" ht="15">
      <c r="B2075" s="197" t="s">
        <v>704</v>
      </c>
      <c r="C2075" s="197"/>
      <c r="D2075" s="1"/>
    </row>
    <row r="2076" spans="2:4" ht="18.75">
      <c r="B2076" s="198" t="s">
        <v>542</v>
      </c>
      <c r="C2076" s="198"/>
      <c r="D2076" s="198"/>
    </row>
    <row r="2077" spans="2:4" ht="15.75">
      <c r="B2077" s="199" t="s">
        <v>612</v>
      </c>
      <c r="C2077" s="199"/>
      <c r="D2077" s="199"/>
    </row>
    <row r="2078" spans="2:4" ht="12.75">
      <c r="B2078" s="3"/>
      <c r="C2078" s="4"/>
      <c r="D2078" s="5"/>
    </row>
    <row r="2079" spans="2:4" ht="14.25">
      <c r="B2079" s="6"/>
      <c r="C2079" s="7"/>
      <c r="D2079" s="5"/>
    </row>
    <row r="2080" spans="1:4" ht="15">
      <c r="A2080" s="8"/>
      <c r="B2080" s="9" t="s">
        <v>613</v>
      </c>
      <c r="C2080" s="10">
        <v>453.03</v>
      </c>
      <c r="D2080" s="5"/>
    </row>
    <row r="2081" spans="1:4" ht="12.75">
      <c r="A2081" s="8"/>
      <c r="B2081" s="11" t="s">
        <v>614</v>
      </c>
      <c r="C2081" s="12">
        <v>4.28</v>
      </c>
      <c r="D2081" s="13"/>
    </row>
    <row r="2082" spans="1:4" ht="12.75">
      <c r="A2082" s="8"/>
      <c r="B2082" s="14" t="s">
        <v>615</v>
      </c>
      <c r="C2082" s="12">
        <v>7.34</v>
      </c>
      <c r="D2082" s="13"/>
    </row>
    <row r="2083" spans="1:4" ht="18.75">
      <c r="A2083" s="8"/>
      <c r="B2083" s="15" t="s">
        <v>616</v>
      </c>
      <c r="C2083" s="16">
        <v>26168.94</v>
      </c>
      <c r="D2083" s="13"/>
    </row>
    <row r="2084" spans="1:4" ht="18.75">
      <c r="A2084" s="17">
        <v>1</v>
      </c>
      <c r="B2084" s="15" t="s">
        <v>543</v>
      </c>
      <c r="C2084" s="16">
        <f>C2085+C2086</f>
        <v>93874.43</v>
      </c>
      <c r="D2084" s="5"/>
    </row>
    <row r="2085" spans="1:4" ht="15">
      <c r="A2085" s="17" t="s">
        <v>706</v>
      </c>
      <c r="B2085" s="19" t="s">
        <v>544</v>
      </c>
      <c r="C2085" s="20">
        <f>23276.28+39917.88</f>
        <v>63194.159999999996</v>
      </c>
      <c r="D2085" s="5"/>
    </row>
    <row r="2086" spans="1:4" ht="15">
      <c r="A2086" s="17" t="s">
        <v>708</v>
      </c>
      <c r="B2086" s="19" t="s">
        <v>709</v>
      </c>
      <c r="C2086" s="20">
        <v>30680.27</v>
      </c>
      <c r="D2086" s="5"/>
    </row>
    <row r="2087" spans="1:4" ht="18">
      <c r="A2087" s="17" t="s">
        <v>414</v>
      </c>
      <c r="B2087" s="18" t="s">
        <v>620</v>
      </c>
      <c r="C2087" s="21">
        <f>C2088+C2089</f>
        <v>77816</v>
      </c>
      <c r="D2087" s="13"/>
    </row>
    <row r="2088" spans="1:4" ht="15.75">
      <c r="A2088" s="17" t="s">
        <v>621</v>
      </c>
      <c r="B2088" s="179" t="s">
        <v>545</v>
      </c>
      <c r="C2088" s="23">
        <f>19926.06+34169.27</f>
        <v>54095.33</v>
      </c>
      <c r="D2088" s="5"/>
    </row>
    <row r="2089" spans="1:4" ht="15.75">
      <c r="A2089" s="17" t="s">
        <v>623</v>
      </c>
      <c r="B2089" s="179" t="s">
        <v>416</v>
      </c>
      <c r="C2089" s="23">
        <f>8364.11+15356.56</f>
        <v>23720.67</v>
      </c>
      <c r="D2089" s="5"/>
    </row>
    <row r="2090" spans="1:4" ht="36">
      <c r="A2090" s="17" t="s">
        <v>546</v>
      </c>
      <c r="B2090" s="24" t="s">
        <v>625</v>
      </c>
      <c r="C2090" s="27">
        <f>C2091+C2093</f>
        <v>134307.054</v>
      </c>
      <c r="D2090" s="13"/>
    </row>
    <row r="2091" spans="1:4" ht="18.75">
      <c r="A2091" s="17" t="s">
        <v>417</v>
      </c>
      <c r="B2091" s="87" t="s">
        <v>626</v>
      </c>
      <c r="C2091" s="27">
        <f>C2092</f>
        <v>26020.539999999997</v>
      </c>
      <c r="D2091" s="13"/>
    </row>
    <row r="2092" spans="1:4" ht="15.75">
      <c r="A2092" s="17"/>
      <c r="B2092" s="87" t="s">
        <v>713</v>
      </c>
      <c r="C2092" s="180">
        <f>442*58.87</f>
        <v>26020.539999999997</v>
      </c>
      <c r="D2092" s="13"/>
    </row>
    <row r="2093" spans="1:4" ht="18.75">
      <c r="A2093" s="17" t="s">
        <v>419</v>
      </c>
      <c r="B2093" s="87" t="s">
        <v>630</v>
      </c>
      <c r="C2093" s="27">
        <f>C2094+C2095+C2096+C2097+C2098+C2099+C2100+C2101</f>
        <v>108286.514</v>
      </c>
      <c r="D2093" s="13"/>
    </row>
    <row r="2094" spans="1:4" ht="25.5">
      <c r="A2094" s="30" t="s">
        <v>547</v>
      </c>
      <c r="B2094" s="158" t="s">
        <v>424</v>
      </c>
      <c r="C2094" s="32">
        <v>21521.68</v>
      </c>
      <c r="D2094" s="5"/>
    </row>
    <row r="2095" spans="1:4" ht="12.75">
      <c r="A2095" s="17" t="s">
        <v>423</v>
      </c>
      <c r="B2095" s="159" t="s">
        <v>425</v>
      </c>
      <c r="C2095" s="34">
        <v>31.86</v>
      </c>
      <c r="D2095" s="5"/>
    </row>
    <row r="2096" spans="1:4" ht="12.75">
      <c r="A2096" s="17" t="s">
        <v>631</v>
      </c>
      <c r="B2096" s="160" t="s">
        <v>426</v>
      </c>
      <c r="C2096" s="34">
        <v>17382.51</v>
      </c>
      <c r="D2096" s="5"/>
    </row>
    <row r="2097" spans="1:4" ht="12.75">
      <c r="A2097" s="17" t="s">
        <v>633</v>
      </c>
      <c r="B2097" s="160" t="s">
        <v>427</v>
      </c>
      <c r="C2097" s="34">
        <v>744.93</v>
      </c>
      <c r="D2097" s="5"/>
    </row>
    <row r="2098" spans="1:4" ht="12.75">
      <c r="A2098" s="30" t="s">
        <v>635</v>
      </c>
      <c r="B2098" s="159" t="s">
        <v>428</v>
      </c>
      <c r="C2098" s="34">
        <f>2.3*230*12</f>
        <v>6348</v>
      </c>
      <c r="D2098" s="5"/>
    </row>
    <row r="2099" spans="1:4" ht="12.75">
      <c r="A2099" s="30" t="s">
        <v>637</v>
      </c>
      <c r="B2099" s="90" t="s">
        <v>548</v>
      </c>
      <c r="C2099" s="12">
        <v>3220.79</v>
      </c>
      <c r="D2099" s="5"/>
    </row>
    <row r="2100" spans="1:4" ht="12.75">
      <c r="A2100" s="30" t="s">
        <v>639</v>
      </c>
      <c r="B2100" s="159" t="s">
        <v>429</v>
      </c>
      <c r="C2100" s="91">
        <f>C2085*0.15</f>
        <v>9479.124</v>
      </c>
      <c r="D2100" s="5"/>
    </row>
    <row r="2101" spans="1:4" ht="12.75">
      <c r="A2101" s="8" t="s">
        <v>641</v>
      </c>
      <c r="B2101" s="159" t="s">
        <v>549</v>
      </c>
      <c r="C2101" s="34">
        <v>49557.62</v>
      </c>
      <c r="D2101" s="13"/>
    </row>
    <row r="2102" spans="1:4" ht="15.75">
      <c r="A2102" s="8"/>
      <c r="B2102" s="79"/>
      <c r="C2102" s="46"/>
      <c r="D2102" s="5"/>
    </row>
    <row r="2103" spans="1:4" ht="30">
      <c r="A2103" s="162"/>
      <c r="B2103" s="80" t="s">
        <v>550</v>
      </c>
      <c r="C2103" s="71">
        <f>C2087-C2090</f>
        <v>-56491.054000000004</v>
      </c>
      <c r="D2103" s="5"/>
    </row>
    <row r="2104" spans="1:4" ht="15.75">
      <c r="A2104" s="8"/>
      <c r="B2104" s="45" t="s">
        <v>479</v>
      </c>
      <c r="C2104" s="46">
        <v>8694.34</v>
      </c>
      <c r="D2104" s="5"/>
    </row>
    <row r="2105" spans="1:4" ht="15.75">
      <c r="A2105" s="8"/>
      <c r="B2105" s="45" t="s">
        <v>652</v>
      </c>
      <c r="C2105" s="46">
        <f>C2103+C2104</f>
        <v>-47796.71400000001</v>
      </c>
      <c r="D2105" s="5"/>
    </row>
    <row r="2106" spans="1:4" ht="15.75">
      <c r="A2106" s="8"/>
      <c r="B2106" s="45"/>
      <c r="C2106" s="46"/>
      <c r="D2106" s="5"/>
    </row>
    <row r="2107" spans="1:3" ht="15.75">
      <c r="A2107" s="8"/>
      <c r="B2107" s="45" t="s">
        <v>653</v>
      </c>
      <c r="C2107" s="99">
        <f>C2087-(C2083+C2084)</f>
        <v>-42227.369999999995</v>
      </c>
    </row>
    <row r="2108" spans="1:3" ht="15.75">
      <c r="A2108" s="8"/>
      <c r="B2108" s="45" t="s">
        <v>654</v>
      </c>
      <c r="C2108" s="178">
        <v>-23943.06</v>
      </c>
    </row>
    <row r="2109" spans="1:3" ht="15.75">
      <c r="A2109" s="8"/>
      <c r="B2109" s="45" t="s">
        <v>726</v>
      </c>
      <c r="C2109" s="178">
        <v>-18284.31</v>
      </c>
    </row>
    <row r="2110" ht="51.75" customHeight="1"/>
    <row r="2111" spans="2:4" ht="15">
      <c r="B2111" s="196" t="s">
        <v>609</v>
      </c>
      <c r="C2111" s="196"/>
      <c r="D2111" s="196"/>
    </row>
    <row r="2112" spans="2:4" ht="15">
      <c r="B2112" s="197" t="s">
        <v>610</v>
      </c>
      <c r="C2112" s="197"/>
      <c r="D2112" s="1"/>
    </row>
    <row r="2113" spans="2:4" ht="18.75">
      <c r="B2113" s="198" t="s">
        <v>551</v>
      </c>
      <c r="C2113" s="198"/>
      <c r="D2113" s="198"/>
    </row>
    <row r="2114" spans="2:4" ht="15.75">
      <c r="B2114" s="199" t="s">
        <v>612</v>
      </c>
      <c r="C2114" s="199"/>
      <c r="D2114" s="199"/>
    </row>
    <row r="2115" spans="2:4" ht="12.75">
      <c r="B2115" s="3"/>
      <c r="C2115" s="4"/>
      <c r="D2115" s="5"/>
    </row>
    <row r="2116" spans="2:4" ht="14.25">
      <c r="B2116" s="6"/>
      <c r="C2116" s="7"/>
      <c r="D2116" s="5"/>
    </row>
    <row r="2117" spans="1:4" ht="15.75">
      <c r="A2117" s="8"/>
      <c r="B2117" s="51" t="s">
        <v>613</v>
      </c>
      <c r="C2117" s="99">
        <v>193.6</v>
      </c>
      <c r="D2117" s="5"/>
    </row>
    <row r="2118" spans="1:4" ht="15">
      <c r="A2118" s="8"/>
      <c r="B2118" s="53" t="s">
        <v>667</v>
      </c>
      <c r="C2118" s="54">
        <v>3.2</v>
      </c>
      <c r="D2118" s="13"/>
    </row>
    <row r="2119" spans="1:4" ht="15">
      <c r="A2119" s="8"/>
      <c r="B2119" s="55" t="s">
        <v>615</v>
      </c>
      <c r="C2119" s="56">
        <v>5.49</v>
      </c>
      <c r="D2119" s="13"/>
    </row>
    <row r="2120" spans="1:4" ht="18.75">
      <c r="A2120" s="8"/>
      <c r="B2120" s="15" t="s">
        <v>616</v>
      </c>
      <c r="C2120" s="57">
        <f>923.35+1581.79</f>
        <v>2505.14</v>
      </c>
      <c r="D2120" s="13"/>
    </row>
    <row r="2121" spans="1:4" ht="18">
      <c r="A2121" s="17">
        <v>1</v>
      </c>
      <c r="B2121" s="18" t="s">
        <v>668</v>
      </c>
      <c r="C2121" s="21">
        <f>7434.24+12754.44</f>
        <v>20188.68</v>
      </c>
      <c r="D2121" s="5"/>
    </row>
    <row r="2122" spans="1:4" ht="18">
      <c r="A2122" s="17">
        <v>2</v>
      </c>
      <c r="B2122" s="58" t="s">
        <v>669</v>
      </c>
      <c r="C2122" s="59">
        <f>(C2120+C2121)-C2124</f>
        <v>19107.66</v>
      </c>
      <c r="D2122" s="5"/>
    </row>
    <row r="2123" spans="1:4" ht="15">
      <c r="A2123" s="17">
        <v>3</v>
      </c>
      <c r="B2123" s="19" t="s">
        <v>670</v>
      </c>
      <c r="C2123" s="20"/>
      <c r="D2123" s="5"/>
    </row>
    <row r="2124" spans="1:4" ht="18.75">
      <c r="A2124" s="17"/>
      <c r="B2124" s="60" t="s">
        <v>671</v>
      </c>
      <c r="C2124" s="16">
        <f>1320.97+2265.19</f>
        <v>3586.16</v>
      </c>
      <c r="D2124" s="5"/>
    </row>
    <row r="2125" spans="1:4" ht="15">
      <c r="A2125" s="61"/>
      <c r="B2125" s="62"/>
      <c r="C2125" s="63"/>
      <c r="D2125" s="5"/>
    </row>
    <row r="2126" spans="1:4" ht="15">
      <c r="A2126" s="61"/>
      <c r="B2126" s="62"/>
      <c r="C2126" s="63"/>
      <c r="D2126" s="5"/>
    </row>
    <row r="2127" spans="1:4" ht="31.5">
      <c r="A2127" s="17">
        <v>4</v>
      </c>
      <c r="B2127" s="64" t="s">
        <v>625</v>
      </c>
      <c r="C2127" s="65">
        <f>C2128+C2129+C2130+C2131+C2132</f>
        <v>20738.311999999998</v>
      </c>
      <c r="D2127" s="5"/>
    </row>
    <row r="2128" spans="1:4" ht="26.25">
      <c r="A2128" s="30" t="s">
        <v>672</v>
      </c>
      <c r="B2128" s="31" t="s">
        <v>632</v>
      </c>
      <c r="C2128" s="66">
        <v>1986.58</v>
      </c>
      <c r="D2128" s="5"/>
    </row>
    <row r="2129" spans="1:4" ht="15.75">
      <c r="A2129" s="17" t="s">
        <v>673</v>
      </c>
      <c r="B2129" s="79" t="s">
        <v>699</v>
      </c>
      <c r="C2129" s="23">
        <v>19.12</v>
      </c>
      <c r="D2129" s="5"/>
    </row>
    <row r="2130" spans="1:4" ht="15.75">
      <c r="A2130" s="17" t="s">
        <v>31</v>
      </c>
      <c r="B2130" s="81" t="s">
        <v>552</v>
      </c>
      <c r="C2130" s="69">
        <f>1.4*230*12</f>
        <v>3864</v>
      </c>
      <c r="D2130" s="5"/>
    </row>
    <row r="2131" spans="1:4" ht="15.75">
      <c r="A2131" s="8" t="s">
        <v>33</v>
      </c>
      <c r="B2131" s="82" t="s">
        <v>703</v>
      </c>
      <c r="C2131" s="71">
        <f>C2121*0.15</f>
        <v>3028.302</v>
      </c>
      <c r="D2131" s="5"/>
    </row>
    <row r="2132" spans="1:4" ht="15.75">
      <c r="A2132" s="8" t="s">
        <v>34</v>
      </c>
      <c r="B2132" s="79" t="s">
        <v>553</v>
      </c>
      <c r="C2132" s="23">
        <v>11840.31</v>
      </c>
      <c r="D2132" s="5"/>
    </row>
    <row r="2133" spans="1:4" ht="15.75">
      <c r="A2133" s="8"/>
      <c r="B2133" s="83"/>
      <c r="C2133" s="23"/>
      <c r="D2133" s="5"/>
    </row>
    <row r="2134" spans="1:3" ht="18">
      <c r="A2134" s="8"/>
      <c r="B2134" s="73" t="s">
        <v>683</v>
      </c>
      <c r="C2134" s="74">
        <v>28012.67</v>
      </c>
    </row>
    <row r="2135" spans="1:4" ht="18">
      <c r="A2135" s="8"/>
      <c r="B2135" s="73" t="s">
        <v>36</v>
      </c>
      <c r="C2135" s="59">
        <f>C2122-C2127</f>
        <v>-1630.6519999999982</v>
      </c>
      <c r="D2135" s="75"/>
    </row>
    <row r="2136" spans="1:3" ht="18.75">
      <c r="A2136" s="8"/>
      <c r="B2136" s="76" t="s">
        <v>652</v>
      </c>
      <c r="C2136" s="74">
        <f>SUM(C2134:C2135)</f>
        <v>26382.018</v>
      </c>
    </row>
    <row r="2137" ht="53.25" customHeight="1"/>
    <row r="2138" spans="2:4" ht="15">
      <c r="B2138" s="196" t="s">
        <v>609</v>
      </c>
      <c r="C2138" s="196"/>
      <c r="D2138" s="196"/>
    </row>
    <row r="2139" spans="2:4" ht="15">
      <c r="B2139" s="197" t="s">
        <v>610</v>
      </c>
      <c r="C2139" s="197"/>
      <c r="D2139" s="1"/>
    </row>
    <row r="2140" spans="2:4" ht="18.75">
      <c r="B2140" s="198" t="s">
        <v>554</v>
      </c>
      <c r="C2140" s="198"/>
      <c r="D2140" s="198"/>
    </row>
    <row r="2141" spans="2:4" ht="15.75">
      <c r="B2141" s="199" t="s">
        <v>612</v>
      </c>
      <c r="C2141" s="199"/>
      <c r="D2141" s="199"/>
    </row>
    <row r="2142" spans="2:4" ht="12.75">
      <c r="B2142" s="3"/>
      <c r="C2142" s="4"/>
      <c r="D2142" s="5"/>
    </row>
    <row r="2143" spans="2:4" ht="14.25">
      <c r="B2143" s="6"/>
      <c r="C2143" s="7"/>
      <c r="D2143" s="5"/>
    </row>
    <row r="2144" spans="1:4" ht="15.75">
      <c r="A2144" s="8"/>
      <c r="B2144" s="51" t="s">
        <v>613</v>
      </c>
      <c r="C2144" s="99">
        <v>110.01</v>
      </c>
      <c r="D2144" s="5"/>
    </row>
    <row r="2145" spans="1:4" ht="15">
      <c r="A2145" s="8"/>
      <c r="B2145" s="53" t="s">
        <v>667</v>
      </c>
      <c r="C2145" s="54">
        <v>3.2</v>
      </c>
      <c r="D2145" s="13"/>
    </row>
    <row r="2146" spans="1:4" ht="15">
      <c r="A2146" s="8"/>
      <c r="B2146" s="55" t="s">
        <v>615</v>
      </c>
      <c r="C2146" s="56">
        <v>5.49</v>
      </c>
      <c r="D2146" s="13"/>
    </row>
    <row r="2147" spans="1:4" ht="18.75">
      <c r="A2147" s="8"/>
      <c r="B2147" s="15" t="s">
        <v>616</v>
      </c>
      <c r="C2147" s="57">
        <f>390.99+669.86</f>
        <v>1060.85</v>
      </c>
      <c r="D2147" s="13"/>
    </row>
    <row r="2148" spans="1:4" ht="18">
      <c r="A2148" s="17">
        <v>1</v>
      </c>
      <c r="B2148" s="18" t="s">
        <v>668</v>
      </c>
      <c r="C2148" s="21">
        <f>4224.36+7247.52</f>
        <v>11471.880000000001</v>
      </c>
      <c r="D2148" s="5"/>
    </row>
    <row r="2149" spans="1:4" ht="18">
      <c r="A2149" s="17">
        <v>2</v>
      </c>
      <c r="B2149" s="58" t="s">
        <v>669</v>
      </c>
      <c r="C2149" s="59">
        <f>(C2147+C2148)-C2151</f>
        <v>11342.650000000001</v>
      </c>
      <c r="D2149" s="5"/>
    </row>
    <row r="2150" spans="1:4" ht="15">
      <c r="A2150" s="17">
        <v>3</v>
      </c>
      <c r="B2150" s="19" t="s">
        <v>670</v>
      </c>
      <c r="C2150" s="20"/>
      <c r="D2150" s="5"/>
    </row>
    <row r="2151" spans="1:4" ht="18.75">
      <c r="A2151" s="17"/>
      <c r="B2151" s="60" t="s">
        <v>671</v>
      </c>
      <c r="C2151" s="16">
        <f>438.23+751.85</f>
        <v>1190.08</v>
      </c>
      <c r="D2151" s="5"/>
    </row>
    <row r="2152" spans="1:4" ht="15">
      <c r="A2152" s="61"/>
      <c r="B2152" s="62"/>
      <c r="C2152" s="63"/>
      <c r="D2152" s="5"/>
    </row>
    <row r="2153" spans="1:4" ht="15">
      <c r="A2153" s="61"/>
      <c r="B2153" s="62"/>
      <c r="C2153" s="63"/>
      <c r="D2153" s="5"/>
    </row>
    <row r="2154" spans="1:4" ht="31.5">
      <c r="A2154" s="17">
        <v>4</v>
      </c>
      <c r="B2154" s="64" t="s">
        <v>625</v>
      </c>
      <c r="C2154" s="65">
        <f>C2155+C2156+C2157+C2158+C2159</f>
        <v>24804.692000000003</v>
      </c>
      <c r="D2154" s="5"/>
    </row>
    <row r="2155" spans="1:4" ht="26.25">
      <c r="A2155" s="30" t="s">
        <v>672</v>
      </c>
      <c r="B2155" s="31" t="s">
        <v>632</v>
      </c>
      <c r="C2155" s="66">
        <v>967.24</v>
      </c>
      <c r="D2155" s="5"/>
    </row>
    <row r="2156" spans="1:4" ht="15.75">
      <c r="A2156" s="17" t="s">
        <v>673</v>
      </c>
      <c r="B2156" s="79" t="s">
        <v>699</v>
      </c>
      <c r="C2156" s="23">
        <v>19.4</v>
      </c>
      <c r="D2156" s="5"/>
    </row>
    <row r="2157" spans="1:4" ht="15.75">
      <c r="A2157" s="17" t="s">
        <v>31</v>
      </c>
      <c r="B2157" s="81" t="s">
        <v>39</v>
      </c>
      <c r="C2157" s="69">
        <f>1*230*12</f>
        <v>2760</v>
      </c>
      <c r="D2157" s="5"/>
    </row>
    <row r="2158" spans="1:4" ht="15.75">
      <c r="A2158" s="8" t="s">
        <v>33</v>
      </c>
      <c r="B2158" s="82" t="s">
        <v>703</v>
      </c>
      <c r="C2158" s="71">
        <f>C2148*0.15</f>
        <v>1720.7820000000002</v>
      </c>
      <c r="D2158" s="5"/>
    </row>
    <row r="2159" spans="1:4" ht="15.75">
      <c r="A2159" s="8" t="s">
        <v>34</v>
      </c>
      <c r="B2159" s="79" t="s">
        <v>553</v>
      </c>
      <c r="C2159" s="23">
        <f>C2161+C2162</f>
        <v>19337.27</v>
      </c>
      <c r="D2159" s="5"/>
    </row>
    <row r="2160" spans="1:4" ht="15.75">
      <c r="A2160" s="8"/>
      <c r="B2160" s="82" t="s">
        <v>555</v>
      </c>
      <c r="C2160" s="23"/>
      <c r="D2160" s="5"/>
    </row>
    <row r="2161" spans="1:4" ht="12.75">
      <c r="A2161" s="8"/>
      <c r="B2161" s="37" t="s">
        <v>556</v>
      </c>
      <c r="C2161" s="181">
        <v>19036.06</v>
      </c>
      <c r="D2161" s="5"/>
    </row>
    <row r="2162" spans="1:4" ht="12.75">
      <c r="A2162" s="8"/>
      <c r="B2162" s="40" t="s">
        <v>557</v>
      </c>
      <c r="C2162" s="41">
        <v>301.21</v>
      </c>
      <c r="D2162" s="5"/>
    </row>
    <row r="2163" spans="1:3" ht="18">
      <c r="A2163" s="8"/>
      <c r="B2163" s="73" t="s">
        <v>683</v>
      </c>
      <c r="C2163" s="74">
        <v>8792.38</v>
      </c>
    </row>
    <row r="2164" spans="1:4" ht="18">
      <c r="A2164" s="8"/>
      <c r="B2164" s="73" t="s">
        <v>36</v>
      </c>
      <c r="C2164" s="59">
        <f>C2149-C2154</f>
        <v>-13462.042000000001</v>
      </c>
      <c r="D2164" s="75"/>
    </row>
    <row r="2165" spans="1:3" ht="18.75">
      <c r="A2165" s="8"/>
      <c r="B2165" s="76" t="s">
        <v>558</v>
      </c>
      <c r="C2165" s="74">
        <f>SUM(C2163:C2164)</f>
        <v>-4669.662000000002</v>
      </c>
    </row>
    <row r="2166" ht="53.25" customHeight="1"/>
    <row r="2167" spans="2:4" ht="15">
      <c r="B2167" s="196" t="s">
        <v>609</v>
      </c>
      <c r="C2167" s="196"/>
      <c r="D2167" s="196"/>
    </row>
    <row r="2168" spans="2:4" ht="15">
      <c r="B2168" s="197" t="s">
        <v>704</v>
      </c>
      <c r="C2168" s="197"/>
      <c r="D2168" s="1"/>
    </row>
    <row r="2169" spans="2:4" ht="18.75">
      <c r="B2169" s="198" t="s">
        <v>559</v>
      </c>
      <c r="C2169" s="198"/>
      <c r="D2169" s="198"/>
    </row>
    <row r="2170" spans="2:4" ht="15.75">
      <c r="B2170" s="199" t="s">
        <v>612</v>
      </c>
      <c r="C2170" s="199"/>
      <c r="D2170" s="199"/>
    </row>
    <row r="2171" spans="1:4" ht="15">
      <c r="A2171" s="8"/>
      <c r="B2171" s="9" t="s">
        <v>613</v>
      </c>
      <c r="C2171" s="10">
        <v>2505.6</v>
      </c>
      <c r="D2171" s="5"/>
    </row>
    <row r="2172" spans="1:4" ht="12.75">
      <c r="A2172" s="8"/>
      <c r="B2172" s="11" t="s">
        <v>614</v>
      </c>
      <c r="C2172" s="12">
        <v>5.33</v>
      </c>
      <c r="D2172" s="13"/>
    </row>
    <row r="2173" spans="1:4" ht="12.75">
      <c r="A2173" s="8"/>
      <c r="B2173" s="14" t="s">
        <v>615</v>
      </c>
      <c r="C2173" s="12">
        <v>9.16</v>
      </c>
      <c r="D2173" s="13"/>
    </row>
    <row r="2174" spans="1:4" ht="18.75">
      <c r="A2174" s="8"/>
      <c r="B2174" s="15" t="s">
        <v>616</v>
      </c>
      <c r="C2174" s="16">
        <v>107957.37</v>
      </c>
      <c r="D2174" s="13"/>
    </row>
    <row r="2175" spans="1:4" ht="18.75">
      <c r="A2175" s="17">
        <v>1</v>
      </c>
      <c r="B2175" s="18" t="s">
        <v>617</v>
      </c>
      <c r="C2175" s="16">
        <f>C2176+C2177</f>
        <v>673407.26</v>
      </c>
      <c r="D2175" s="5"/>
    </row>
    <row r="2176" spans="1:4" ht="15">
      <c r="A2176" s="17"/>
      <c r="B2176" s="19" t="s">
        <v>618</v>
      </c>
      <c r="C2176" s="20">
        <f>160263.66+275424.78</f>
        <v>435688.44000000006</v>
      </c>
      <c r="D2176" s="5"/>
    </row>
    <row r="2177" spans="1:4" ht="15">
      <c r="A2177" s="17"/>
      <c r="B2177" s="19" t="s">
        <v>709</v>
      </c>
      <c r="C2177" s="20">
        <f>83990.97+153727.85</f>
        <v>237718.82</v>
      </c>
      <c r="D2177" s="5"/>
    </row>
    <row r="2178" spans="1:4" ht="18">
      <c r="A2178" s="17">
        <v>2</v>
      </c>
      <c r="B2178" s="18" t="s">
        <v>620</v>
      </c>
      <c r="C2178" s="21">
        <f>C2179+C2180</f>
        <v>611016.27</v>
      </c>
      <c r="D2178" s="13"/>
    </row>
    <row r="2179" spans="1:4" ht="15.75">
      <c r="A2179" s="17"/>
      <c r="B2179" s="157" t="s">
        <v>545</v>
      </c>
      <c r="C2179" s="23">
        <f>148206.04+254688.55</f>
        <v>402894.58999999997</v>
      </c>
      <c r="D2179" s="13"/>
    </row>
    <row r="2180" spans="1:4" ht="15.75">
      <c r="A2180" s="17"/>
      <c r="B2180" s="157" t="s">
        <v>416</v>
      </c>
      <c r="C2180" s="23">
        <f>73385.27+134736.41</f>
        <v>208121.68</v>
      </c>
      <c r="D2180" s="5"/>
    </row>
    <row r="2181" spans="1:4" ht="36">
      <c r="A2181" s="17">
        <v>5</v>
      </c>
      <c r="B2181" s="24" t="s">
        <v>625</v>
      </c>
      <c r="C2181" s="85">
        <f>C2182+C2184</f>
        <v>665507.3759999999</v>
      </c>
      <c r="D2181" s="13"/>
    </row>
    <row r="2182" spans="1:4" ht="18">
      <c r="A2182" s="17"/>
      <c r="B2182" s="87" t="s">
        <v>626</v>
      </c>
      <c r="C2182" s="85">
        <f>C2183</f>
        <v>289934.75</v>
      </c>
      <c r="D2182" s="13"/>
    </row>
    <row r="2183" spans="1:4" ht="15.75">
      <c r="A2183" s="17" t="s">
        <v>627</v>
      </c>
      <c r="B2183" s="87" t="s">
        <v>713</v>
      </c>
      <c r="C2183" s="88">
        <v>289934.75</v>
      </c>
      <c r="D2183" s="13"/>
    </row>
    <row r="2184" spans="1:4" ht="18.75">
      <c r="A2184" s="17"/>
      <c r="B2184" s="87" t="s">
        <v>630</v>
      </c>
      <c r="C2184" s="27">
        <f>C2185+C2186+C2187+C2188+C2189+C2190+C2191+C2192+C2193+C2194+C2195</f>
        <v>375572.626</v>
      </c>
      <c r="D2184" s="13"/>
    </row>
    <row r="2185" spans="1:4" ht="25.5">
      <c r="A2185" s="30" t="s">
        <v>631</v>
      </c>
      <c r="B2185" s="31" t="s">
        <v>632</v>
      </c>
      <c r="C2185" s="32">
        <v>76119.43</v>
      </c>
      <c r="D2185" s="5"/>
    </row>
    <row r="2186" spans="1:4" ht="12.75">
      <c r="A2186" s="17" t="s">
        <v>633</v>
      </c>
      <c r="B2186" s="33" t="s">
        <v>634</v>
      </c>
      <c r="C2186" s="34">
        <v>914.21</v>
      </c>
      <c r="D2186" s="5"/>
    </row>
    <row r="2187" spans="1:4" ht="12.75">
      <c r="A2187" s="17" t="s">
        <v>635</v>
      </c>
      <c r="B2187" s="35" t="s">
        <v>746</v>
      </c>
      <c r="C2187" s="34">
        <v>46278.9</v>
      </c>
      <c r="D2187" s="5"/>
    </row>
    <row r="2188" spans="1:4" ht="12.75">
      <c r="A2188" s="17" t="s">
        <v>637</v>
      </c>
      <c r="B2188" s="35" t="s">
        <v>640</v>
      </c>
      <c r="C2188" s="34">
        <v>13924.89</v>
      </c>
      <c r="D2188" s="5"/>
    </row>
    <row r="2189" spans="1:4" ht="12.75">
      <c r="A2189" s="30" t="s">
        <v>639</v>
      </c>
      <c r="B2189" s="33" t="s">
        <v>560</v>
      </c>
      <c r="C2189" s="34">
        <f>8.1*230*12</f>
        <v>22356</v>
      </c>
      <c r="D2189" s="5"/>
    </row>
    <row r="2190" spans="1:4" ht="12.75">
      <c r="A2190" s="30"/>
      <c r="B2190" s="160" t="s">
        <v>561</v>
      </c>
      <c r="C2190" s="34">
        <v>472.47</v>
      </c>
      <c r="D2190" s="5"/>
    </row>
    <row r="2191" spans="1:4" ht="12.75">
      <c r="A2191" s="30"/>
      <c r="B2191" s="182" t="s">
        <v>562</v>
      </c>
      <c r="C2191" s="34">
        <v>550</v>
      </c>
      <c r="D2191" s="5"/>
    </row>
    <row r="2192" spans="1:4" ht="25.5">
      <c r="A2192" s="30"/>
      <c r="B2192" s="108" t="s">
        <v>751</v>
      </c>
      <c r="C2192" s="34">
        <v>411.01</v>
      </c>
      <c r="D2192" s="5"/>
    </row>
    <row r="2193" spans="1:4" ht="12.75">
      <c r="A2193" s="30"/>
      <c r="B2193" s="37" t="s">
        <v>563</v>
      </c>
      <c r="C2193" s="34">
        <v>15520</v>
      </c>
      <c r="D2193" s="5"/>
    </row>
    <row r="2194" spans="1:4" ht="12.75">
      <c r="A2194" s="30" t="s">
        <v>641</v>
      </c>
      <c r="B2194" s="33" t="s">
        <v>646</v>
      </c>
      <c r="C2194" s="91">
        <f>C2176*0.15</f>
        <v>65353.266</v>
      </c>
      <c r="D2194" s="5"/>
    </row>
    <row r="2195" spans="1:4" ht="12.75">
      <c r="A2195" s="17" t="s">
        <v>643</v>
      </c>
      <c r="B2195" s="33" t="s">
        <v>648</v>
      </c>
      <c r="C2195" s="34">
        <f>C2197+C2198+C2199+C2200+C2201+C2202+C2203</f>
        <v>133672.44999999998</v>
      </c>
      <c r="D2195" s="13"/>
    </row>
    <row r="2196" spans="1:4" ht="12.75">
      <c r="A2196" s="17"/>
      <c r="B2196" s="39" t="s">
        <v>649</v>
      </c>
      <c r="C2196" s="34"/>
      <c r="D2196" s="13"/>
    </row>
    <row r="2197" spans="1:4" ht="48">
      <c r="A2197" s="17"/>
      <c r="B2197" s="44" t="s">
        <v>564</v>
      </c>
      <c r="C2197" s="78">
        <f>19937.65+983+46884.53</f>
        <v>67805.18</v>
      </c>
      <c r="D2197" s="13"/>
    </row>
    <row r="2198" spans="1:4" ht="24">
      <c r="A2198" s="8"/>
      <c r="B2198" s="37" t="s">
        <v>565</v>
      </c>
      <c r="C2198" s="167">
        <v>4001.3</v>
      </c>
      <c r="D2198" s="5"/>
    </row>
    <row r="2199" spans="1:4" ht="12.75">
      <c r="A2199" s="8"/>
      <c r="B2199" s="36" t="s">
        <v>566</v>
      </c>
      <c r="C2199" s="41">
        <v>13991</v>
      </c>
      <c r="D2199" s="5"/>
    </row>
    <row r="2200" spans="1:4" ht="24">
      <c r="A2200" s="8"/>
      <c r="B2200" s="183" t="s">
        <v>567</v>
      </c>
      <c r="C2200" s="78">
        <v>3077.54</v>
      </c>
      <c r="D2200" s="5"/>
    </row>
    <row r="2201" spans="1:4" ht="12.75">
      <c r="A2201" s="8"/>
      <c r="B2201" s="37" t="s">
        <v>568</v>
      </c>
      <c r="C2201" s="78">
        <v>3298.35</v>
      </c>
      <c r="D2201" s="5"/>
    </row>
    <row r="2202" spans="1:4" ht="36">
      <c r="A2202" s="8"/>
      <c r="B2202" s="183" t="s">
        <v>569</v>
      </c>
      <c r="C2202" s="78">
        <v>39804.87</v>
      </c>
      <c r="D2202" s="5"/>
    </row>
    <row r="2203" spans="1:4" ht="12.75">
      <c r="A2203" s="8"/>
      <c r="B2203" s="37" t="s">
        <v>570</v>
      </c>
      <c r="C2203" s="78">
        <v>1694.21</v>
      </c>
      <c r="D2203" s="5"/>
    </row>
    <row r="2204" spans="1:4" ht="30">
      <c r="A2204" s="8"/>
      <c r="B2204" s="45" t="s">
        <v>664</v>
      </c>
      <c r="C2204" s="46">
        <f>C2178-C2181</f>
        <v>-54491.10599999991</v>
      </c>
      <c r="D2204" s="5"/>
    </row>
    <row r="2205" spans="1:4" ht="15.75">
      <c r="A2205" s="8"/>
      <c r="B2205" s="45" t="s">
        <v>479</v>
      </c>
      <c r="C2205" s="46">
        <v>-59397.69</v>
      </c>
      <c r="D2205" s="5"/>
    </row>
    <row r="2206" spans="1:4" ht="15.75">
      <c r="A2206" s="8"/>
      <c r="B2206" s="45" t="s">
        <v>652</v>
      </c>
      <c r="C2206" s="46">
        <f>C2204+C2205</f>
        <v>-113888.79599999991</v>
      </c>
      <c r="D2206" s="5"/>
    </row>
    <row r="2207" spans="1:4" ht="15.75">
      <c r="A2207" s="8"/>
      <c r="B2207" s="45" t="s">
        <v>653</v>
      </c>
      <c r="C2207" s="46">
        <f>C2178-(C2174+C2175)</f>
        <v>-170348.36</v>
      </c>
      <c r="D2207" s="13"/>
    </row>
    <row r="2208" spans="1:4" ht="15.75">
      <c r="A2208" s="8"/>
      <c r="B2208" s="45" t="s">
        <v>654</v>
      </c>
      <c r="C2208" s="46">
        <v>-106677.77</v>
      </c>
      <c r="D2208" s="5"/>
    </row>
    <row r="2209" spans="1:4" ht="15.75">
      <c r="A2209" s="8"/>
      <c r="B2209" s="45" t="s">
        <v>726</v>
      </c>
      <c r="C2209" s="46">
        <v>-63670.59</v>
      </c>
      <c r="D2209" s="5"/>
    </row>
    <row r="2210" spans="1:2" ht="12.75">
      <c r="A2210" s="43"/>
      <c r="B2210" t="s">
        <v>755</v>
      </c>
    </row>
    <row r="2211" ht="12.75">
      <c r="B2211" t="s">
        <v>63</v>
      </c>
    </row>
    <row r="2212" spans="2:3" ht="12.75">
      <c r="B2212" t="s">
        <v>571</v>
      </c>
      <c r="C2212" s="112">
        <f>4925*58.87</f>
        <v>289934.75</v>
      </c>
    </row>
    <row r="2213" spans="2:3" ht="12.75">
      <c r="B2213" t="s">
        <v>572</v>
      </c>
      <c r="C2213" s="112">
        <v>237718.82</v>
      </c>
    </row>
    <row r="2214" spans="2:3" ht="15">
      <c r="B2214" s="114" t="s">
        <v>573</v>
      </c>
      <c r="C2214" s="1">
        <f>C2212-C2213</f>
        <v>52215.92999999999</v>
      </c>
    </row>
    <row r="2215" ht="52.5" customHeight="1"/>
    <row r="2216" spans="2:4" ht="15">
      <c r="B2216" s="196" t="s">
        <v>609</v>
      </c>
      <c r="C2216" s="196"/>
      <c r="D2216" s="196"/>
    </row>
    <row r="2217" spans="2:4" ht="15">
      <c r="B2217" s="197" t="s">
        <v>704</v>
      </c>
      <c r="C2217" s="197"/>
      <c r="D2217" s="1"/>
    </row>
    <row r="2218" spans="2:4" ht="18.75">
      <c r="B2218" s="198" t="s">
        <v>574</v>
      </c>
      <c r="C2218" s="198"/>
      <c r="D2218" s="198"/>
    </row>
    <row r="2219" spans="2:4" ht="15.75">
      <c r="B2219" s="199" t="s">
        <v>612</v>
      </c>
      <c r="C2219" s="199"/>
      <c r="D2219" s="199"/>
    </row>
    <row r="2220" spans="2:4" ht="14.25">
      <c r="B2220" s="6"/>
      <c r="C2220" s="7"/>
      <c r="D2220" s="5"/>
    </row>
    <row r="2221" spans="1:4" ht="15">
      <c r="A2221" s="8"/>
      <c r="B2221" s="9" t="s">
        <v>613</v>
      </c>
      <c r="C2221" s="10">
        <v>334.3</v>
      </c>
      <c r="D2221" s="5"/>
    </row>
    <row r="2222" spans="1:4" ht="12.75">
      <c r="A2222" s="8"/>
      <c r="B2222" s="94" t="s">
        <v>59</v>
      </c>
      <c r="C2222" s="12">
        <v>3.74</v>
      </c>
      <c r="D2222" s="13"/>
    </row>
    <row r="2223" spans="1:4" ht="12.75">
      <c r="A2223" s="8"/>
      <c r="B2223" s="139" t="s">
        <v>60</v>
      </c>
      <c r="C2223" s="12">
        <v>6.42</v>
      </c>
      <c r="D2223" s="13"/>
    </row>
    <row r="2224" spans="1:4" ht="36.75">
      <c r="A2224" s="8"/>
      <c r="B2224" s="140" t="s">
        <v>16</v>
      </c>
      <c r="C2224" s="16">
        <v>15994.61</v>
      </c>
      <c r="D2224" s="13"/>
    </row>
    <row r="2225" spans="1:4" ht="18.75">
      <c r="A2225" s="17">
        <v>1</v>
      </c>
      <c r="B2225" s="18" t="s">
        <v>617</v>
      </c>
      <c r="C2225" s="16">
        <f>C2226+C2227+C2228</f>
        <v>54429.840000000004</v>
      </c>
      <c r="D2225" s="5"/>
    </row>
    <row r="2226" spans="1:4" ht="15">
      <c r="A2226" s="17" t="s">
        <v>706</v>
      </c>
      <c r="B2226" s="19" t="s">
        <v>707</v>
      </c>
      <c r="C2226" s="20">
        <f>14985.48+25723.68</f>
        <v>40709.16</v>
      </c>
      <c r="D2226" s="5"/>
    </row>
    <row r="2227" spans="1:4" ht="15">
      <c r="A2227" s="17" t="s">
        <v>708</v>
      </c>
      <c r="B2227" s="19" t="s">
        <v>709</v>
      </c>
      <c r="C2227" s="20">
        <f>3498.82+6403.86</f>
        <v>9902.68</v>
      </c>
      <c r="D2227" s="5"/>
    </row>
    <row r="2228" spans="1:4" ht="15">
      <c r="A2228" s="17"/>
      <c r="B2228" s="19" t="s">
        <v>575</v>
      </c>
      <c r="C2228" s="20">
        <v>3818</v>
      </c>
      <c r="D2228" s="5"/>
    </row>
    <row r="2229" spans="1:4" ht="18">
      <c r="A2229" s="17">
        <v>2</v>
      </c>
      <c r="B2229" s="18" t="s">
        <v>620</v>
      </c>
      <c r="C2229" s="21">
        <f>C2230+C2231+C2232</f>
        <v>65879.95</v>
      </c>
      <c r="D2229" s="13"/>
    </row>
    <row r="2230" spans="1:4" ht="15.75">
      <c r="A2230" s="17" t="s">
        <v>621</v>
      </c>
      <c r="B2230" s="22" t="s">
        <v>712</v>
      </c>
      <c r="C2230" s="23">
        <f>18151.03+31143.37</f>
        <v>49294.399999999994</v>
      </c>
      <c r="D2230" s="13"/>
    </row>
    <row r="2231" spans="1:4" ht="15.75">
      <c r="A2231" s="17" t="s">
        <v>623</v>
      </c>
      <c r="B2231" s="22" t="s">
        <v>619</v>
      </c>
      <c r="C2231" s="23">
        <f>4465.1+8298.22</f>
        <v>12763.32</v>
      </c>
      <c r="D2231" s="5"/>
    </row>
    <row r="2232" spans="1:4" ht="15.75">
      <c r="A2232" s="17"/>
      <c r="B2232" s="19" t="s">
        <v>575</v>
      </c>
      <c r="C2232" s="23">
        <v>3822.23</v>
      </c>
      <c r="D2232" s="5"/>
    </row>
    <row r="2233" spans="1:4" ht="36">
      <c r="A2233" s="17">
        <v>5</v>
      </c>
      <c r="B2233" s="24" t="s">
        <v>625</v>
      </c>
      <c r="C2233" s="85">
        <f>C2234+C2237</f>
        <v>83482.134</v>
      </c>
      <c r="D2233" s="13"/>
    </row>
    <row r="2234" spans="1:4" ht="18.75">
      <c r="A2234" s="86" t="s">
        <v>627</v>
      </c>
      <c r="B2234" s="87" t="s">
        <v>626</v>
      </c>
      <c r="C2234" s="27">
        <f>C2235+C2236</f>
        <v>16479.28</v>
      </c>
      <c r="D2234" s="13"/>
    </row>
    <row r="2235" spans="1:4" ht="15.75">
      <c r="A2235" s="17"/>
      <c r="B2235" s="87" t="s">
        <v>713</v>
      </c>
      <c r="C2235" s="88">
        <f>215*58.87</f>
        <v>12657.05</v>
      </c>
      <c r="D2235" s="13"/>
    </row>
    <row r="2236" spans="1:4" ht="15.75">
      <c r="A2236" s="17"/>
      <c r="B2236" s="87" t="s">
        <v>576</v>
      </c>
      <c r="C2236" s="88">
        <v>3822.23</v>
      </c>
      <c r="D2236" s="13"/>
    </row>
    <row r="2237" spans="1:4" ht="18.75">
      <c r="A2237" s="17" t="s">
        <v>629</v>
      </c>
      <c r="B2237" s="87" t="s">
        <v>630</v>
      </c>
      <c r="C2237" s="27">
        <f>C2238+C2239+C2240+C2241+C2242+C2243</f>
        <v>67002.854</v>
      </c>
      <c r="D2237" s="13"/>
    </row>
    <row r="2238" spans="1:4" ht="25.5">
      <c r="A2238" s="30" t="s">
        <v>631</v>
      </c>
      <c r="B2238" s="31" t="s">
        <v>632</v>
      </c>
      <c r="C2238" s="32">
        <v>7299.58</v>
      </c>
      <c r="D2238" s="5"/>
    </row>
    <row r="2239" spans="1:4" ht="12.75">
      <c r="A2239" s="17" t="s">
        <v>633</v>
      </c>
      <c r="B2239" s="33" t="s">
        <v>17</v>
      </c>
      <c r="C2239" s="34">
        <v>23.79</v>
      </c>
      <c r="D2239" s="5"/>
    </row>
    <row r="2240" spans="1:4" ht="12.75">
      <c r="A2240" s="17" t="s">
        <v>637</v>
      </c>
      <c r="B2240" s="35" t="s">
        <v>18</v>
      </c>
      <c r="C2240" s="34">
        <v>2229.21</v>
      </c>
      <c r="D2240" s="5"/>
    </row>
    <row r="2241" spans="1:4" ht="12.75">
      <c r="A2241" s="30" t="s">
        <v>639</v>
      </c>
      <c r="B2241" s="33" t="s">
        <v>577</v>
      </c>
      <c r="C2241" s="34">
        <f>1.5*230*2</f>
        <v>690</v>
      </c>
      <c r="D2241" s="5"/>
    </row>
    <row r="2242" spans="1:4" ht="12.75">
      <c r="A2242" s="30" t="s">
        <v>647</v>
      </c>
      <c r="B2242" s="33" t="s">
        <v>23</v>
      </c>
      <c r="C2242" s="34">
        <f>C2226*0.15</f>
        <v>6106.374000000001</v>
      </c>
      <c r="D2242" s="5"/>
    </row>
    <row r="2243" spans="1:4" ht="12.75">
      <c r="A2243" s="17" t="s">
        <v>717</v>
      </c>
      <c r="B2243" s="33" t="s">
        <v>24</v>
      </c>
      <c r="C2243" s="34">
        <v>50653.9</v>
      </c>
      <c r="D2243" s="13"/>
    </row>
    <row r="2244" spans="1:4" ht="12.75">
      <c r="A2244" s="17"/>
      <c r="B2244" s="33"/>
      <c r="C2244" s="34"/>
      <c r="D2244" s="13"/>
    </row>
    <row r="2245" spans="1:4" ht="30">
      <c r="A2245" s="8"/>
      <c r="B2245" s="45" t="s">
        <v>25</v>
      </c>
      <c r="C2245" s="46">
        <f>C2229-C2233</f>
        <v>-17602.18400000001</v>
      </c>
      <c r="D2245" s="49"/>
    </row>
    <row r="2246" spans="1:4" ht="15.75">
      <c r="A2246" s="8"/>
      <c r="B2246" s="45" t="s">
        <v>26</v>
      </c>
      <c r="C2246" s="46">
        <v>-2542.24</v>
      </c>
      <c r="D2246" s="5"/>
    </row>
    <row r="2247" spans="1:4" ht="15.75">
      <c r="A2247" s="8"/>
      <c r="B2247" s="45" t="s">
        <v>652</v>
      </c>
      <c r="C2247" s="46">
        <f>C2245+C2246</f>
        <v>-20144.424000000006</v>
      </c>
      <c r="D2247" s="5"/>
    </row>
    <row r="2248" spans="1:4" ht="15.75">
      <c r="A2248" s="8"/>
      <c r="B2248" s="45"/>
      <c r="C2248" s="46"/>
      <c r="D2248" s="5"/>
    </row>
    <row r="2249" spans="1:4" ht="31.5">
      <c r="A2249" s="8"/>
      <c r="B2249" s="150" t="s">
        <v>27</v>
      </c>
      <c r="C2249" s="46">
        <f>C2229-(C2224+C2225)</f>
        <v>-4544.500000000015</v>
      </c>
      <c r="D2249" s="13"/>
    </row>
    <row r="2250" spans="1:4" ht="15.75">
      <c r="A2250" s="8"/>
      <c r="B2250" s="45" t="s">
        <v>654</v>
      </c>
      <c r="C2250" s="46">
        <v>-3411.96</v>
      </c>
      <c r="D2250" s="5"/>
    </row>
    <row r="2251" spans="1:4" ht="15.75">
      <c r="A2251" s="8"/>
      <c r="B2251" s="45" t="s">
        <v>726</v>
      </c>
      <c r="C2251" s="46">
        <v>-735.11</v>
      </c>
      <c r="D2251" s="5"/>
    </row>
    <row r="2252" spans="1:3" ht="15.75">
      <c r="A2252" s="8"/>
      <c r="B2252" s="79" t="s">
        <v>575</v>
      </c>
      <c r="C2252" s="23">
        <v>-397.43</v>
      </c>
    </row>
    <row r="2253" spans="1:3" ht="15.75">
      <c r="A2253" s="8"/>
      <c r="B2253" s="98"/>
      <c r="C2253" s="23"/>
    </row>
    <row r="2255" ht="12.75">
      <c r="B2255" t="s">
        <v>755</v>
      </c>
    </row>
    <row r="2256" ht="12.75">
      <c r="B2256" t="s">
        <v>63</v>
      </c>
    </row>
    <row r="2257" spans="2:3" ht="12.75">
      <c r="B2257" t="s">
        <v>578</v>
      </c>
      <c r="C2257" s="112">
        <f>215*58.87</f>
        <v>12657.05</v>
      </c>
    </row>
    <row r="2258" spans="2:3" ht="12.75">
      <c r="B2258" t="s">
        <v>579</v>
      </c>
      <c r="C2258" s="113">
        <f>176*58.87</f>
        <v>10361.119999999999</v>
      </c>
    </row>
    <row r="2259" spans="2:3" ht="15">
      <c r="B2259" s="114" t="s">
        <v>580</v>
      </c>
      <c r="C2259" s="115">
        <f>C2257-C2258</f>
        <v>2295.9300000000003</v>
      </c>
    </row>
    <row r="2260" ht="51.75" customHeight="1"/>
    <row r="2261" spans="2:4" ht="15">
      <c r="B2261" s="196" t="s">
        <v>609</v>
      </c>
      <c r="C2261" s="196"/>
      <c r="D2261" s="196"/>
    </row>
    <row r="2262" spans="2:4" ht="15">
      <c r="B2262" s="197" t="s">
        <v>704</v>
      </c>
      <c r="C2262" s="197"/>
      <c r="D2262" s="1"/>
    </row>
    <row r="2263" spans="2:4" ht="18.75">
      <c r="B2263" s="198" t="s">
        <v>581</v>
      </c>
      <c r="C2263" s="198"/>
      <c r="D2263" s="198"/>
    </row>
    <row r="2264" spans="2:4" ht="15.75">
      <c r="B2264" s="199" t="s">
        <v>612</v>
      </c>
      <c r="C2264" s="199"/>
      <c r="D2264" s="199"/>
    </row>
    <row r="2265" spans="2:4" ht="14.25">
      <c r="B2265" s="6"/>
      <c r="C2265" s="7"/>
      <c r="D2265" s="5"/>
    </row>
    <row r="2266" spans="1:4" ht="15">
      <c r="A2266" s="8"/>
      <c r="B2266" s="9" t="s">
        <v>613</v>
      </c>
      <c r="C2266" s="10">
        <v>489.45</v>
      </c>
      <c r="D2266" s="5"/>
    </row>
    <row r="2267" spans="1:4" ht="12.75">
      <c r="A2267" s="8"/>
      <c r="B2267" s="94" t="s">
        <v>59</v>
      </c>
      <c r="C2267" s="12">
        <v>3.74</v>
      </c>
      <c r="D2267" s="13"/>
    </row>
    <row r="2268" spans="1:4" ht="12.75">
      <c r="A2268" s="8"/>
      <c r="B2268" s="139" t="s">
        <v>60</v>
      </c>
      <c r="C2268" s="12">
        <v>6.42</v>
      </c>
      <c r="D2268" s="13"/>
    </row>
    <row r="2269" spans="1:4" ht="36.75">
      <c r="A2269" s="8"/>
      <c r="B2269" s="140" t="s">
        <v>16</v>
      </c>
      <c r="C2269" s="16">
        <v>21859.08</v>
      </c>
      <c r="D2269" s="13"/>
    </row>
    <row r="2270" spans="1:4" ht="18.75">
      <c r="A2270" s="17">
        <v>1</v>
      </c>
      <c r="B2270" s="18" t="s">
        <v>617</v>
      </c>
      <c r="C2270" s="16">
        <f>C2271+C2272</f>
        <v>71034.86</v>
      </c>
      <c r="D2270" s="5"/>
    </row>
    <row r="2271" spans="1:4" ht="15">
      <c r="A2271" s="17" t="s">
        <v>706</v>
      </c>
      <c r="B2271" s="19" t="s">
        <v>707</v>
      </c>
      <c r="C2271" s="20">
        <f>21944.52+37669.56</f>
        <v>59614.08</v>
      </c>
      <c r="D2271" s="5"/>
    </row>
    <row r="2272" spans="1:4" ht="15">
      <c r="A2272" s="17" t="s">
        <v>708</v>
      </c>
      <c r="B2272" s="19" t="s">
        <v>709</v>
      </c>
      <c r="C2272" s="20">
        <f>4035.2+7385.58</f>
        <v>11420.779999999999</v>
      </c>
      <c r="D2272" s="5"/>
    </row>
    <row r="2273" spans="1:4" ht="18">
      <c r="A2273" s="17">
        <v>2</v>
      </c>
      <c r="B2273" s="18" t="s">
        <v>620</v>
      </c>
      <c r="C2273" s="21">
        <f>C2274+C2275</f>
        <v>76971.29000000001</v>
      </c>
      <c r="D2273" s="13"/>
    </row>
    <row r="2274" spans="1:4" ht="15.75">
      <c r="A2274" s="17" t="s">
        <v>621</v>
      </c>
      <c r="B2274" s="22" t="s">
        <v>712</v>
      </c>
      <c r="C2274" s="23">
        <f>22711.14+38972.97</f>
        <v>61684.11</v>
      </c>
      <c r="D2274" s="13"/>
    </row>
    <row r="2275" spans="1:4" ht="15.75">
      <c r="A2275" s="17" t="s">
        <v>623</v>
      </c>
      <c r="B2275" s="22" t="s">
        <v>619</v>
      </c>
      <c r="C2275" s="23">
        <f>5332.34+9954.84</f>
        <v>15287.18</v>
      </c>
      <c r="D2275" s="5"/>
    </row>
    <row r="2276" spans="1:4" ht="36">
      <c r="A2276" s="17">
        <v>5</v>
      </c>
      <c r="B2276" s="24" t="s">
        <v>625</v>
      </c>
      <c r="C2276" s="85">
        <f>C2277+C2279</f>
        <v>47920.892</v>
      </c>
      <c r="D2276" s="13"/>
    </row>
    <row r="2277" spans="1:4" ht="18.75">
      <c r="A2277" s="86" t="s">
        <v>627</v>
      </c>
      <c r="B2277" s="87" t="s">
        <v>626</v>
      </c>
      <c r="C2277" s="27">
        <f>C2278</f>
        <v>12892.529999999999</v>
      </c>
      <c r="D2277" s="13"/>
    </row>
    <row r="2278" spans="1:4" ht="15.75">
      <c r="A2278" s="17"/>
      <c r="B2278" s="87" t="s">
        <v>713</v>
      </c>
      <c r="C2278" s="88">
        <f>219*58.87</f>
        <v>12892.529999999999</v>
      </c>
      <c r="D2278" s="13"/>
    </row>
    <row r="2279" spans="1:4" ht="18.75">
      <c r="A2279" s="17" t="s">
        <v>629</v>
      </c>
      <c r="B2279" s="87" t="s">
        <v>630</v>
      </c>
      <c r="C2279" s="27">
        <f>C2280+C2281+C2282+C2283+C2284+C2285</f>
        <v>35028.362</v>
      </c>
      <c r="D2279" s="13"/>
    </row>
    <row r="2280" spans="1:4" ht="25.5">
      <c r="A2280" s="30" t="s">
        <v>631</v>
      </c>
      <c r="B2280" s="31" t="s">
        <v>632</v>
      </c>
      <c r="C2280" s="32">
        <v>7922.24</v>
      </c>
      <c r="D2280" s="5"/>
    </row>
    <row r="2281" spans="1:4" ht="12.75">
      <c r="A2281" s="17" t="s">
        <v>633</v>
      </c>
      <c r="B2281" s="33" t="s">
        <v>17</v>
      </c>
      <c r="C2281" s="34">
        <v>34.55</v>
      </c>
      <c r="D2281" s="5"/>
    </row>
    <row r="2282" spans="1:4" ht="12.75">
      <c r="A2282" s="17" t="s">
        <v>637</v>
      </c>
      <c r="B2282" s="35" t="s">
        <v>18</v>
      </c>
      <c r="C2282" s="34">
        <v>267.84</v>
      </c>
      <c r="D2282" s="5"/>
    </row>
    <row r="2283" spans="1:4" ht="12.75">
      <c r="A2283" s="30" t="s">
        <v>639</v>
      </c>
      <c r="B2283" s="33" t="s">
        <v>582</v>
      </c>
      <c r="C2283" s="34">
        <f>2*230*12</f>
        <v>5520</v>
      </c>
      <c r="D2283" s="5"/>
    </row>
    <row r="2284" spans="1:4" ht="12.75">
      <c r="A2284" s="30" t="s">
        <v>647</v>
      </c>
      <c r="B2284" s="33" t="s">
        <v>23</v>
      </c>
      <c r="C2284" s="34">
        <f>C2271*0.15</f>
        <v>8942.112</v>
      </c>
      <c r="D2284" s="5"/>
    </row>
    <row r="2285" spans="1:4" ht="12.75">
      <c r="A2285" s="17" t="s">
        <v>717</v>
      </c>
      <c r="B2285" s="33" t="s">
        <v>24</v>
      </c>
      <c r="C2285" s="34">
        <v>12341.62</v>
      </c>
      <c r="D2285" s="13"/>
    </row>
    <row r="2286" spans="1:4" ht="12.75">
      <c r="A2286" s="17"/>
      <c r="B2286" s="33"/>
      <c r="C2286" s="34"/>
      <c r="D2286" s="13"/>
    </row>
    <row r="2287" spans="1:4" ht="30">
      <c r="A2287" s="8"/>
      <c r="B2287" s="45" t="s">
        <v>25</v>
      </c>
      <c r="C2287" s="46">
        <f>C2273-C2276</f>
        <v>29050.39800000001</v>
      </c>
      <c r="D2287" s="49"/>
    </row>
    <row r="2288" spans="1:4" ht="15.75">
      <c r="A2288" s="8"/>
      <c r="B2288" s="45" t="s">
        <v>26</v>
      </c>
      <c r="C2288" s="46">
        <v>-46339.83</v>
      </c>
      <c r="D2288" s="5"/>
    </row>
    <row r="2289" spans="1:4" ht="15.75">
      <c r="A2289" s="8"/>
      <c r="B2289" s="83" t="s">
        <v>583</v>
      </c>
      <c r="C2289" s="23">
        <v>8720.53</v>
      </c>
      <c r="D2289" s="5"/>
    </row>
    <row r="2290" spans="1:4" ht="15.75">
      <c r="A2290" s="8"/>
      <c r="B2290" s="83" t="s">
        <v>584</v>
      </c>
      <c r="C2290" s="23">
        <v>10499.4</v>
      </c>
      <c r="D2290" s="5"/>
    </row>
    <row r="2291" spans="1:4" ht="15.75">
      <c r="A2291" s="8"/>
      <c r="B2291" s="45" t="s">
        <v>652</v>
      </c>
      <c r="C2291" s="46">
        <f>C2287+C2288+C2289+C2290</f>
        <v>1930.4980000000069</v>
      </c>
      <c r="D2291" s="5"/>
    </row>
    <row r="2292" spans="1:4" ht="15.75">
      <c r="A2292" s="8"/>
      <c r="B2292" s="45"/>
      <c r="C2292" s="46"/>
      <c r="D2292" s="5"/>
    </row>
    <row r="2293" spans="1:4" ht="31.5">
      <c r="A2293" s="8"/>
      <c r="B2293" s="150" t="s">
        <v>27</v>
      </c>
      <c r="C2293" s="46">
        <f>C2273-(C2269+C2270)</f>
        <v>-15922.649999999994</v>
      </c>
      <c r="D2293" s="13"/>
    </row>
    <row r="2294" spans="1:4" ht="15.75">
      <c r="A2294" s="8"/>
      <c r="B2294" s="45" t="s">
        <v>654</v>
      </c>
      <c r="C2294" s="46">
        <v>-12669.55</v>
      </c>
      <c r="D2294" s="5"/>
    </row>
    <row r="2295" spans="1:4" ht="15.75">
      <c r="A2295" s="8"/>
      <c r="B2295" s="45" t="s">
        <v>726</v>
      </c>
      <c r="C2295" s="46">
        <v>-3253.1</v>
      </c>
      <c r="D2295" s="5"/>
    </row>
    <row r="2296" spans="1:3" ht="15.75">
      <c r="A2296" s="8"/>
      <c r="B2296" s="79"/>
      <c r="C2296" s="23"/>
    </row>
    <row r="2297" spans="1:3" ht="15.75">
      <c r="A2297" s="8"/>
      <c r="B2297" s="98"/>
      <c r="C2297" s="23"/>
    </row>
    <row r="2299" ht="12.75">
      <c r="B2299" t="s">
        <v>755</v>
      </c>
    </row>
    <row r="2300" ht="12.75">
      <c r="B2300" t="s">
        <v>63</v>
      </c>
    </row>
    <row r="2301" spans="2:3" ht="12.75">
      <c r="B2301" t="s">
        <v>585</v>
      </c>
      <c r="C2301" s="112">
        <f>219*58.87</f>
        <v>12892.529999999999</v>
      </c>
    </row>
    <row r="2302" spans="2:3" ht="12.75">
      <c r="B2302" t="s">
        <v>586</v>
      </c>
      <c r="C2302" s="113">
        <f>194*58.87</f>
        <v>11420.779999999999</v>
      </c>
    </row>
    <row r="2303" spans="2:3" ht="15">
      <c r="B2303" s="114" t="s">
        <v>587</v>
      </c>
      <c r="C2303" s="115">
        <f>C2301-C2302</f>
        <v>1471.75</v>
      </c>
    </row>
    <row r="2304" ht="51.75" customHeight="1"/>
    <row r="2305" spans="2:4" ht="15">
      <c r="B2305" s="196" t="s">
        <v>609</v>
      </c>
      <c r="C2305" s="196"/>
      <c r="D2305" s="196"/>
    </row>
    <row r="2306" spans="2:4" ht="15">
      <c r="B2306" s="197" t="s">
        <v>610</v>
      </c>
      <c r="C2306" s="197"/>
      <c r="D2306" s="1"/>
    </row>
    <row r="2307" spans="2:4" ht="18.75">
      <c r="B2307" s="198" t="s">
        <v>588</v>
      </c>
      <c r="C2307" s="198"/>
      <c r="D2307" s="198"/>
    </row>
    <row r="2308" spans="2:4" ht="15.75">
      <c r="B2308" s="199" t="s">
        <v>612</v>
      </c>
      <c r="C2308" s="199"/>
      <c r="D2308" s="199"/>
    </row>
    <row r="2309" spans="2:4" ht="12.75">
      <c r="B2309" s="3"/>
      <c r="C2309" s="4"/>
      <c r="D2309" s="5"/>
    </row>
    <row r="2310" spans="2:4" ht="14.25">
      <c r="B2310" s="6"/>
      <c r="C2310" s="7"/>
      <c r="D2310" s="5"/>
    </row>
    <row r="2311" spans="1:4" ht="15.75">
      <c r="A2311" s="8"/>
      <c r="B2311" s="51" t="s">
        <v>613</v>
      </c>
      <c r="C2311" s="99">
        <v>479.3</v>
      </c>
      <c r="D2311" s="5"/>
    </row>
    <row r="2312" spans="1:4" ht="15">
      <c r="A2312" s="8"/>
      <c r="B2312" s="53" t="s">
        <v>667</v>
      </c>
      <c r="C2312" s="54">
        <v>3.2</v>
      </c>
      <c r="D2312" s="13"/>
    </row>
    <row r="2313" spans="1:4" ht="15">
      <c r="A2313" s="8"/>
      <c r="B2313" s="55" t="s">
        <v>615</v>
      </c>
      <c r="C2313" s="56">
        <v>5.49</v>
      </c>
      <c r="D2313" s="13"/>
    </row>
    <row r="2314" spans="1:4" ht="18.75">
      <c r="A2314" s="8"/>
      <c r="B2314" s="15" t="s">
        <v>616</v>
      </c>
      <c r="C2314" s="57">
        <f>631.88+1082.54</f>
        <v>1714.42</v>
      </c>
      <c r="D2314" s="13"/>
    </row>
    <row r="2315" spans="1:4" ht="18">
      <c r="A2315" s="17">
        <v>1</v>
      </c>
      <c r="B2315" s="18" t="s">
        <v>668</v>
      </c>
      <c r="C2315" s="21">
        <f>18405.12+31576.32</f>
        <v>49981.44</v>
      </c>
      <c r="D2315" s="5"/>
    </row>
    <row r="2316" spans="1:4" ht="18">
      <c r="A2316" s="17">
        <v>2</v>
      </c>
      <c r="B2316" s="58" t="s">
        <v>669</v>
      </c>
      <c r="C2316" s="59">
        <f>(C2314+C2315)-C2318</f>
        <v>50306.51</v>
      </c>
      <c r="D2316" s="5"/>
    </row>
    <row r="2317" spans="1:4" ht="15">
      <c r="A2317" s="17">
        <v>3</v>
      </c>
      <c r="B2317" s="19" t="s">
        <v>670</v>
      </c>
      <c r="C2317" s="20"/>
      <c r="D2317" s="5"/>
    </row>
    <row r="2318" spans="1:4" ht="18.75">
      <c r="A2318" s="17"/>
      <c r="B2318" s="60" t="s">
        <v>671</v>
      </c>
      <c r="C2318" s="16">
        <f>511.63+877.72</f>
        <v>1389.35</v>
      </c>
      <c r="D2318" s="5"/>
    </row>
    <row r="2319" spans="1:4" ht="15">
      <c r="A2319" s="61"/>
      <c r="B2319" s="62"/>
      <c r="C2319" s="63"/>
      <c r="D2319" s="5"/>
    </row>
    <row r="2320" spans="1:4" ht="15">
      <c r="A2320" s="61"/>
      <c r="B2320" s="62"/>
      <c r="C2320" s="63"/>
      <c r="D2320" s="5"/>
    </row>
    <row r="2321" spans="1:4" ht="31.5">
      <c r="A2321" s="17">
        <v>4</v>
      </c>
      <c r="B2321" s="64" t="s">
        <v>625</v>
      </c>
      <c r="C2321" s="27">
        <f>C2322+C2323+C2324+C2325+C2326+C2327</f>
        <v>17398.436</v>
      </c>
      <c r="D2321" s="5"/>
    </row>
    <row r="2322" spans="1:4" ht="26.25">
      <c r="A2322" s="30" t="s">
        <v>672</v>
      </c>
      <c r="B2322" s="31" t="s">
        <v>632</v>
      </c>
      <c r="C2322" s="23">
        <v>2501.31</v>
      </c>
      <c r="D2322" s="5"/>
    </row>
    <row r="2323" spans="1:4" ht="15.75">
      <c r="A2323" s="17" t="s">
        <v>697</v>
      </c>
      <c r="B2323" s="83" t="s">
        <v>455</v>
      </c>
      <c r="C2323" s="23">
        <v>465.93</v>
      </c>
      <c r="D2323" s="5"/>
    </row>
    <row r="2324" spans="1:4" ht="15.75">
      <c r="A2324" s="17" t="s">
        <v>673</v>
      </c>
      <c r="B2324" s="79" t="s">
        <v>91</v>
      </c>
      <c r="C2324" s="23">
        <v>33.98</v>
      </c>
      <c r="D2324" s="5"/>
    </row>
    <row r="2325" spans="1:4" ht="15.75">
      <c r="A2325" s="17" t="s">
        <v>31</v>
      </c>
      <c r="B2325" s="81" t="s">
        <v>589</v>
      </c>
      <c r="C2325" s="69">
        <f>2.5*230*12</f>
        <v>6900</v>
      </c>
      <c r="D2325" s="5"/>
    </row>
    <row r="2326" spans="1:4" ht="15.75">
      <c r="A2326" s="8" t="s">
        <v>33</v>
      </c>
      <c r="B2326" s="82" t="s">
        <v>678</v>
      </c>
      <c r="C2326" s="71">
        <f>C2315*0.15</f>
        <v>7497.216</v>
      </c>
      <c r="D2326" s="5"/>
    </row>
    <row r="2327" spans="1:4" ht="15.75">
      <c r="A2327" s="8" t="s">
        <v>34</v>
      </c>
      <c r="B2327" s="79" t="s">
        <v>404</v>
      </c>
      <c r="C2327" s="23">
        <v>0</v>
      </c>
      <c r="D2327" s="5"/>
    </row>
    <row r="2328" spans="1:4" ht="15.75">
      <c r="A2328" s="8"/>
      <c r="B2328" s="143"/>
      <c r="C2328" s="23"/>
      <c r="D2328" s="5"/>
    </row>
    <row r="2329" spans="1:3" ht="18">
      <c r="A2329" s="8"/>
      <c r="B2329" s="73" t="s">
        <v>683</v>
      </c>
      <c r="C2329" s="59">
        <v>26314</v>
      </c>
    </row>
    <row r="2330" spans="1:4" ht="18">
      <c r="A2330" s="8"/>
      <c r="B2330" s="73" t="s">
        <v>53</v>
      </c>
      <c r="C2330" s="59">
        <f>C2316-C2321</f>
        <v>32908.074</v>
      </c>
      <c r="D2330" s="75"/>
    </row>
    <row r="2331" spans="1:3" ht="18.75">
      <c r="A2331" s="8"/>
      <c r="B2331" s="76" t="s">
        <v>54</v>
      </c>
      <c r="C2331" s="59">
        <f>SUM(C2329:C2330)</f>
        <v>59222.074</v>
      </c>
    </row>
    <row r="2332" ht="53.25" customHeight="1"/>
    <row r="2333" spans="2:4" ht="15">
      <c r="B2333" s="196" t="s">
        <v>609</v>
      </c>
      <c r="C2333" s="196"/>
      <c r="D2333" s="196"/>
    </row>
    <row r="2334" spans="2:4" ht="15">
      <c r="B2334" s="197" t="s">
        <v>704</v>
      </c>
      <c r="C2334" s="197"/>
      <c r="D2334" s="1"/>
    </row>
    <row r="2335" spans="2:4" ht="18.75">
      <c r="B2335" s="198" t="s">
        <v>590</v>
      </c>
      <c r="C2335" s="198"/>
      <c r="D2335" s="198"/>
    </row>
    <row r="2336" spans="2:4" ht="15.75">
      <c r="B2336" s="199" t="s">
        <v>612</v>
      </c>
      <c r="C2336" s="199"/>
      <c r="D2336" s="199"/>
    </row>
    <row r="2337" spans="2:4" ht="12.75">
      <c r="B2337" s="3"/>
      <c r="C2337" s="4"/>
      <c r="D2337" s="5"/>
    </row>
    <row r="2338" spans="2:4" ht="14.25">
      <c r="B2338" s="6"/>
      <c r="C2338" s="7"/>
      <c r="D2338" s="5"/>
    </row>
    <row r="2339" spans="1:4" ht="15">
      <c r="A2339" s="8"/>
      <c r="B2339" s="9" t="s">
        <v>613</v>
      </c>
      <c r="C2339" s="10">
        <v>4109.1</v>
      </c>
      <c r="D2339" s="5"/>
    </row>
    <row r="2340" spans="1:4" ht="12.75">
      <c r="A2340" s="8"/>
      <c r="B2340" s="11" t="s">
        <v>614</v>
      </c>
      <c r="C2340" s="12">
        <v>5.33</v>
      </c>
      <c r="D2340" s="13"/>
    </row>
    <row r="2341" spans="1:4" ht="12.75">
      <c r="A2341" s="8"/>
      <c r="B2341" s="14" t="s">
        <v>615</v>
      </c>
      <c r="C2341" s="12">
        <v>9.16</v>
      </c>
      <c r="D2341" s="13"/>
    </row>
    <row r="2342" spans="1:4" ht="18.75">
      <c r="A2342" s="8"/>
      <c r="B2342" s="15" t="s">
        <v>616</v>
      </c>
      <c r="C2342" s="16">
        <v>150442.9</v>
      </c>
      <c r="D2342" s="13"/>
    </row>
    <row r="2343" spans="1:4" ht="18.75">
      <c r="A2343" s="17">
        <v>1</v>
      </c>
      <c r="B2343" s="18" t="s">
        <v>617</v>
      </c>
      <c r="C2343" s="16">
        <f>C2344+C2345</f>
        <v>1214192.0699999998</v>
      </c>
      <c r="D2343" s="5"/>
    </row>
    <row r="2344" spans="1:4" ht="15">
      <c r="A2344" s="17"/>
      <c r="B2344" s="19" t="s">
        <v>591</v>
      </c>
      <c r="C2344" s="20">
        <f>262818.25+451672.44</f>
        <v>714490.69</v>
      </c>
      <c r="D2344" s="5"/>
    </row>
    <row r="2345" spans="1:4" ht="15">
      <c r="A2345" s="17"/>
      <c r="B2345" s="19" t="s">
        <v>709</v>
      </c>
      <c r="C2345" s="20">
        <f>176553.78+323147.6</f>
        <v>499701.38</v>
      </c>
      <c r="D2345" s="5"/>
    </row>
    <row r="2346" spans="1:4" ht="18">
      <c r="A2346" s="17">
        <v>2</v>
      </c>
      <c r="B2346" s="18" t="s">
        <v>620</v>
      </c>
      <c r="C2346" s="21">
        <f>C2347+C2348</f>
        <v>1211191.35</v>
      </c>
      <c r="D2346" s="13"/>
    </row>
    <row r="2347" spans="1:4" ht="15.75">
      <c r="A2347" s="17"/>
      <c r="B2347" s="157" t="s">
        <v>545</v>
      </c>
      <c r="C2347" s="23">
        <f>260249.56+447232.71</f>
        <v>707482.27</v>
      </c>
      <c r="D2347" s="13"/>
    </row>
    <row r="2348" spans="1:4" ht="15.75">
      <c r="A2348" s="17"/>
      <c r="B2348" s="157" t="s">
        <v>416</v>
      </c>
      <c r="C2348" s="23">
        <f>177391.59+326317.49</f>
        <v>503709.07999999996</v>
      </c>
      <c r="D2348" s="5"/>
    </row>
    <row r="2349" spans="1:4" ht="18">
      <c r="A2349" s="17"/>
      <c r="B2349" s="84"/>
      <c r="C2349" s="21"/>
      <c r="D2349" s="13"/>
    </row>
    <row r="2350" spans="1:4" ht="36">
      <c r="A2350" s="17">
        <v>5</v>
      </c>
      <c r="B2350" s="24" t="s">
        <v>625</v>
      </c>
      <c r="C2350" s="25">
        <f>C2351+C2354</f>
        <v>1070789.1135</v>
      </c>
      <c r="D2350" s="13"/>
    </row>
    <row r="2351" spans="1:4" ht="15.75">
      <c r="A2351" s="17"/>
      <c r="B2351" s="87" t="s">
        <v>626</v>
      </c>
      <c r="C2351" s="88">
        <f>7748*58.87</f>
        <v>456124.75999999995</v>
      </c>
      <c r="D2351" s="13"/>
    </row>
    <row r="2352" spans="1:4" ht="15.75">
      <c r="A2352" s="17" t="s">
        <v>627</v>
      </c>
      <c r="B2352" s="87" t="s">
        <v>713</v>
      </c>
      <c r="C2352" s="88">
        <f>7748*58.87</f>
        <v>456124.75999999995</v>
      </c>
      <c r="D2352" s="13"/>
    </row>
    <row r="2353" spans="1:4" ht="15.75">
      <c r="A2353" s="17"/>
      <c r="B2353" s="82"/>
      <c r="C2353" s="46"/>
      <c r="D2353" s="13"/>
    </row>
    <row r="2354" spans="1:4" ht="15.75">
      <c r="A2354" s="17"/>
      <c r="B2354" s="87" t="s">
        <v>630</v>
      </c>
      <c r="C2354" s="88">
        <f>C2355+C2356+C2357+C2358+C2359+C2360+C2361+C2362+C2363+C2364</f>
        <v>614664.3535</v>
      </c>
      <c r="D2354" s="13"/>
    </row>
    <row r="2355" spans="1:4" ht="25.5">
      <c r="A2355" s="30" t="s">
        <v>631</v>
      </c>
      <c r="B2355" s="31" t="s">
        <v>632</v>
      </c>
      <c r="C2355" s="32">
        <f>82674.57+17890.36</f>
        <v>100564.93000000001</v>
      </c>
      <c r="D2355" s="5"/>
    </row>
    <row r="2356" spans="1:4" ht="12.75">
      <c r="A2356" s="17" t="s">
        <v>633</v>
      </c>
      <c r="B2356" s="33" t="s">
        <v>634</v>
      </c>
      <c r="C2356" s="34">
        <v>1289.15</v>
      </c>
      <c r="D2356" s="5"/>
    </row>
    <row r="2357" spans="1:4" ht="12.75">
      <c r="A2357" s="17" t="s">
        <v>635</v>
      </c>
      <c r="B2357" s="35" t="s">
        <v>746</v>
      </c>
      <c r="C2357" s="34">
        <v>72646.54</v>
      </c>
      <c r="D2357" s="5"/>
    </row>
    <row r="2358" spans="1:4" ht="12.75">
      <c r="A2358" s="17" t="s">
        <v>637</v>
      </c>
      <c r="B2358" s="35" t="s">
        <v>640</v>
      </c>
      <c r="C2358" s="34">
        <v>16670.25</v>
      </c>
      <c r="D2358" s="5"/>
    </row>
    <row r="2359" spans="1:4" ht="12.75">
      <c r="A2359" s="30" t="s">
        <v>639</v>
      </c>
      <c r="B2359" s="33" t="s">
        <v>592</v>
      </c>
      <c r="C2359" s="34">
        <v>45540</v>
      </c>
      <c r="D2359" s="5"/>
    </row>
    <row r="2360" spans="1:4" ht="12.75">
      <c r="A2360" s="30"/>
      <c r="B2360" s="160" t="s">
        <v>593</v>
      </c>
      <c r="C2360" s="34">
        <v>189799.55</v>
      </c>
      <c r="D2360" s="5"/>
    </row>
    <row r="2361" spans="1:4" ht="12.75">
      <c r="A2361" s="30"/>
      <c r="B2361" s="184" t="s">
        <v>594</v>
      </c>
      <c r="C2361" s="185">
        <v>535.72</v>
      </c>
      <c r="D2361" s="5"/>
    </row>
    <row r="2362" spans="1:4" ht="12.75">
      <c r="A2362" s="30"/>
      <c r="B2362" s="160" t="s">
        <v>595</v>
      </c>
      <c r="C2362" s="34">
        <v>165</v>
      </c>
      <c r="D2362" s="5"/>
    </row>
    <row r="2363" spans="1:4" ht="12.75">
      <c r="A2363" s="30" t="s">
        <v>641</v>
      </c>
      <c r="B2363" s="33" t="s">
        <v>646</v>
      </c>
      <c r="C2363" s="91">
        <f>C2344*0.15</f>
        <v>107173.60349999998</v>
      </c>
      <c r="D2363" s="5"/>
    </row>
    <row r="2364" spans="1:4" ht="12.75">
      <c r="A2364" s="17" t="s">
        <v>643</v>
      </c>
      <c r="B2364" s="33" t="s">
        <v>648</v>
      </c>
      <c r="C2364" s="34">
        <v>80279.61</v>
      </c>
      <c r="D2364" s="13"/>
    </row>
    <row r="2365" spans="1:4" ht="30">
      <c r="A2365" s="8"/>
      <c r="B2365" s="45" t="s">
        <v>596</v>
      </c>
      <c r="C2365" s="46">
        <f>C2346-C2350</f>
        <v>140402.23650000012</v>
      </c>
      <c r="D2365" s="5"/>
    </row>
    <row r="2366" spans="1:4" ht="15.75">
      <c r="A2366" s="8"/>
      <c r="B2366" s="45" t="s">
        <v>479</v>
      </c>
      <c r="C2366" s="46">
        <v>-196184.4</v>
      </c>
      <c r="D2366" s="5"/>
    </row>
    <row r="2367" spans="1:4" ht="15.75">
      <c r="A2367" s="8"/>
      <c r="B2367" s="174" t="s">
        <v>558</v>
      </c>
      <c r="C2367" s="186">
        <f>C2365+C2366</f>
        <v>-55782.16349999988</v>
      </c>
      <c r="D2367" s="5"/>
    </row>
    <row r="2368" spans="1:4" ht="15">
      <c r="A2368" s="8"/>
      <c r="B2368" s="187"/>
      <c r="C2368" s="188"/>
      <c r="D2368" s="5"/>
    </row>
    <row r="2369" spans="1:4" ht="15.75">
      <c r="A2369" s="8"/>
      <c r="B2369" s="45" t="s">
        <v>653</v>
      </c>
      <c r="C2369" s="46">
        <f>C2346-(C2342+C2343)</f>
        <v>-153443.61999999965</v>
      </c>
      <c r="D2369" s="13"/>
    </row>
    <row r="2370" spans="1:4" ht="15.75">
      <c r="A2370" s="8"/>
      <c r="B2370" s="45" t="s">
        <v>654</v>
      </c>
      <c r="C2370" s="46">
        <v>-85946.53</v>
      </c>
      <c r="D2370" s="5"/>
    </row>
    <row r="2371" spans="1:4" ht="15.75">
      <c r="A2371" s="8"/>
      <c r="B2371" s="45" t="s">
        <v>726</v>
      </c>
      <c r="C2371" s="46">
        <v>-67497.09</v>
      </c>
      <c r="D2371" s="5"/>
    </row>
    <row r="2372" spans="1:3" ht="15.75">
      <c r="A2372" s="43"/>
      <c r="B2372" s="189"/>
      <c r="C2372" s="190"/>
    </row>
    <row r="2373" spans="1:3" ht="15.75">
      <c r="A2373" s="43"/>
      <c r="B2373" s="174" t="s">
        <v>597</v>
      </c>
      <c r="C2373" s="23">
        <f>12960+7560+9720+12958+3866+3000</f>
        <v>50064</v>
      </c>
    </row>
    <row r="2374" spans="2:3" ht="15.75">
      <c r="B2374" s="150" t="s">
        <v>598</v>
      </c>
      <c r="C2374" s="46">
        <v>12362.4</v>
      </c>
    </row>
    <row r="2375" ht="51.75" customHeight="1"/>
    <row r="2376" spans="2:4" ht="15">
      <c r="B2376" s="196" t="s">
        <v>609</v>
      </c>
      <c r="C2376" s="196"/>
      <c r="D2376" s="196"/>
    </row>
    <row r="2377" spans="2:4" ht="15">
      <c r="B2377" s="197" t="s">
        <v>704</v>
      </c>
      <c r="C2377" s="197"/>
      <c r="D2377" s="1"/>
    </row>
    <row r="2378" spans="2:4" ht="18.75">
      <c r="B2378" s="198" t="s">
        <v>599</v>
      </c>
      <c r="C2378" s="198"/>
      <c r="D2378" s="198"/>
    </row>
    <row r="2379" spans="2:4" ht="15.75">
      <c r="B2379" s="199" t="s">
        <v>612</v>
      </c>
      <c r="C2379" s="199"/>
      <c r="D2379" s="199"/>
    </row>
    <row r="2380" spans="2:4" ht="14.25">
      <c r="B2380" s="6"/>
      <c r="C2380" s="7"/>
      <c r="D2380" s="5"/>
    </row>
    <row r="2381" spans="1:4" ht="15">
      <c r="A2381" s="8"/>
      <c r="B2381" s="9" t="s">
        <v>613</v>
      </c>
      <c r="C2381" s="10">
        <v>4011.3</v>
      </c>
      <c r="D2381" s="5"/>
    </row>
    <row r="2382" spans="1:4" ht="12.75">
      <c r="A2382" s="8"/>
      <c r="B2382" s="11" t="s">
        <v>614</v>
      </c>
      <c r="C2382" s="12">
        <v>5.33</v>
      </c>
      <c r="D2382" s="13"/>
    </row>
    <row r="2383" spans="1:4" ht="12.75">
      <c r="A2383" s="8"/>
      <c r="B2383" s="14" t="s">
        <v>615</v>
      </c>
      <c r="C2383" s="12">
        <v>9.16</v>
      </c>
      <c r="D2383" s="13"/>
    </row>
    <row r="2384" spans="1:4" ht="18.75">
      <c r="A2384" s="8"/>
      <c r="B2384" s="15" t="s">
        <v>616</v>
      </c>
      <c r="C2384" s="16">
        <f>28352.64+14361.01+27622.77+48692.5</f>
        <v>119028.92</v>
      </c>
      <c r="D2384" s="13"/>
    </row>
    <row r="2385" spans="1:4" ht="18.75">
      <c r="A2385" s="17">
        <v>1</v>
      </c>
      <c r="B2385" s="18" t="s">
        <v>617</v>
      </c>
      <c r="C2385" s="16">
        <f>C2386+C2387</f>
        <v>1104597.52</v>
      </c>
      <c r="D2385" s="5"/>
    </row>
    <row r="2386" spans="1:4" ht="15">
      <c r="A2386" s="17" t="s">
        <v>706</v>
      </c>
      <c r="B2386" s="19" t="s">
        <v>591</v>
      </c>
      <c r="C2386" s="20">
        <f>256528.05+440861.51</f>
        <v>697389.56</v>
      </c>
      <c r="D2386" s="5"/>
    </row>
    <row r="2387" spans="1:4" ht="15">
      <c r="A2387" s="17" t="s">
        <v>708</v>
      </c>
      <c r="B2387" s="19" t="s">
        <v>709</v>
      </c>
      <c r="C2387" s="20">
        <f>143873.59+263334.37</f>
        <v>407207.95999999996</v>
      </c>
      <c r="D2387" s="5"/>
    </row>
    <row r="2388" spans="1:4" ht="18">
      <c r="A2388" s="17">
        <v>2</v>
      </c>
      <c r="B2388" s="18" t="s">
        <v>620</v>
      </c>
      <c r="C2388" s="21">
        <f>C2389+C2390</f>
        <v>1048631.82</v>
      </c>
      <c r="D2388" s="13"/>
    </row>
    <row r="2389" spans="1:4" ht="15.75">
      <c r="A2389" s="17" t="s">
        <v>621</v>
      </c>
      <c r="B2389" s="157" t="s">
        <v>545</v>
      </c>
      <c r="C2389" s="23">
        <f>250581.87+430619.41</f>
        <v>681201.28</v>
      </c>
      <c r="D2389" s="13"/>
    </row>
    <row r="2390" spans="1:4" ht="15.75">
      <c r="A2390" s="17" t="s">
        <v>623</v>
      </c>
      <c r="B2390" s="157" t="s">
        <v>416</v>
      </c>
      <c r="C2390" s="23">
        <f>129530.36+237900.18</f>
        <v>367430.54</v>
      </c>
      <c r="D2390" s="5"/>
    </row>
    <row r="2391" spans="1:4" ht="36">
      <c r="A2391" s="17">
        <v>5</v>
      </c>
      <c r="B2391" s="24" t="s">
        <v>625</v>
      </c>
      <c r="C2391" s="27">
        <f>C2392+C2394</f>
        <v>1266582.636</v>
      </c>
      <c r="D2391" s="13"/>
    </row>
    <row r="2392" spans="1:4" ht="18.75">
      <c r="A2392" s="86" t="s">
        <v>627</v>
      </c>
      <c r="B2392" s="87" t="s">
        <v>626</v>
      </c>
      <c r="C2392" s="27">
        <f>C2393</f>
        <v>410147.29</v>
      </c>
      <c r="D2392" s="13"/>
    </row>
    <row r="2393" spans="1:4" ht="15.75">
      <c r="A2393" s="17"/>
      <c r="B2393" s="87" t="s">
        <v>713</v>
      </c>
      <c r="C2393" s="88">
        <f>6967*58.87</f>
        <v>410147.29</v>
      </c>
      <c r="D2393" s="13"/>
    </row>
    <row r="2394" spans="1:4" ht="18.75">
      <c r="A2394" s="17" t="s">
        <v>629</v>
      </c>
      <c r="B2394" s="87" t="s">
        <v>630</v>
      </c>
      <c r="C2394" s="27">
        <f>C2395+C2396+C2397+C2398+C2399+C2400+C2401+C2402+C2403+C2404+C2405+C2406+C2407+C2408+C2409+C2410</f>
        <v>856435.3459999999</v>
      </c>
      <c r="D2394" s="13"/>
    </row>
    <row r="2395" spans="1:4" ht="12.75">
      <c r="A2395" s="30" t="s">
        <v>631</v>
      </c>
      <c r="B2395" s="193" t="s">
        <v>518</v>
      </c>
      <c r="C2395" s="34">
        <f>4011.3*0.92*12</f>
        <v>44284.752</v>
      </c>
      <c r="D2395" s="5"/>
    </row>
    <row r="2396" spans="1:4" ht="25.5">
      <c r="A2396" s="30"/>
      <c r="B2396" s="31" t="s">
        <v>519</v>
      </c>
      <c r="C2396" s="32">
        <v>106426.41</v>
      </c>
      <c r="D2396" s="5"/>
    </row>
    <row r="2397" spans="1:4" ht="12.75">
      <c r="A2397" s="17" t="s">
        <v>633</v>
      </c>
      <c r="B2397" s="33" t="s">
        <v>634</v>
      </c>
      <c r="C2397" s="34">
        <v>125.46</v>
      </c>
      <c r="D2397" s="5"/>
    </row>
    <row r="2398" spans="1:4" ht="12.75">
      <c r="A2398" s="17" t="s">
        <v>635</v>
      </c>
      <c r="B2398" s="35" t="s">
        <v>746</v>
      </c>
      <c r="C2398" s="34">
        <v>94382.28</v>
      </c>
      <c r="D2398" s="5"/>
    </row>
    <row r="2399" spans="1:4" ht="12.75">
      <c r="A2399" s="17" t="s">
        <v>637</v>
      </c>
      <c r="B2399" s="35" t="s">
        <v>520</v>
      </c>
      <c r="C2399" s="34">
        <v>37994.22</v>
      </c>
      <c r="D2399" s="5"/>
    </row>
    <row r="2400" spans="1:4" ht="12.75">
      <c r="A2400" s="30" t="s">
        <v>639</v>
      </c>
      <c r="B2400" s="33" t="s">
        <v>600</v>
      </c>
      <c r="C2400" s="34">
        <f>19.1*230*12</f>
        <v>52716</v>
      </c>
      <c r="D2400" s="5"/>
    </row>
    <row r="2401" spans="1:4" ht="36">
      <c r="A2401" s="191" t="s">
        <v>641</v>
      </c>
      <c r="B2401" s="37" t="s">
        <v>601</v>
      </c>
      <c r="C2401" s="34">
        <v>2380</v>
      </c>
      <c r="D2401" s="5"/>
    </row>
    <row r="2402" spans="1:4" ht="12.75">
      <c r="A2402" s="191"/>
      <c r="B2402" s="37" t="s">
        <v>602</v>
      </c>
      <c r="C2402" s="34">
        <v>2750</v>
      </c>
      <c r="D2402" s="5"/>
    </row>
    <row r="2403" spans="1:4" ht="12.75">
      <c r="A2403" s="191"/>
      <c r="B2403" s="37" t="s">
        <v>603</v>
      </c>
      <c r="C2403" s="91">
        <v>1500</v>
      </c>
      <c r="D2403" s="5"/>
    </row>
    <row r="2404" spans="1:4" ht="24">
      <c r="A2404" s="30" t="s">
        <v>643</v>
      </c>
      <c r="B2404" s="37" t="s">
        <v>604</v>
      </c>
      <c r="C2404" s="34">
        <v>411.01</v>
      </c>
      <c r="D2404" s="5"/>
    </row>
    <row r="2405" spans="1:4" ht="12.75">
      <c r="A2405" s="30" t="s">
        <v>645</v>
      </c>
      <c r="B2405" s="36" t="s">
        <v>605</v>
      </c>
      <c r="C2405" s="34">
        <v>600</v>
      </c>
      <c r="D2405" s="5"/>
    </row>
    <row r="2406" spans="1:4" ht="12.75">
      <c r="A2406" s="30" t="s">
        <v>647</v>
      </c>
      <c r="B2406" s="33" t="s">
        <v>646</v>
      </c>
      <c r="C2406" s="34">
        <f>C2386*0.15</f>
        <v>104608.43400000001</v>
      </c>
      <c r="D2406" s="5"/>
    </row>
    <row r="2407" spans="1:4" ht="24">
      <c r="A2407" s="30" t="s">
        <v>717</v>
      </c>
      <c r="B2407" s="177" t="s">
        <v>606</v>
      </c>
      <c r="C2407" s="172">
        <f>4000+900+1000</f>
        <v>5900</v>
      </c>
      <c r="D2407" s="5"/>
    </row>
    <row r="2408" spans="1:4" ht="24">
      <c r="A2408" s="30" t="s">
        <v>786</v>
      </c>
      <c r="B2408" s="194" t="s">
        <v>521</v>
      </c>
      <c r="C2408" s="195">
        <v>-63229.7</v>
      </c>
      <c r="D2408" s="5"/>
    </row>
    <row r="2409" spans="1:4" ht="36">
      <c r="A2409" s="30" t="s">
        <v>522</v>
      </c>
      <c r="B2409" s="194" t="s">
        <v>523</v>
      </c>
      <c r="C2409" s="34">
        <v>31694.75</v>
      </c>
      <c r="D2409" s="5"/>
    </row>
    <row r="2410" spans="1:4" ht="12.75">
      <c r="A2410" s="17" t="s">
        <v>524</v>
      </c>
      <c r="B2410" s="33" t="s">
        <v>648</v>
      </c>
      <c r="C2410" s="192">
        <v>433891.73</v>
      </c>
      <c r="D2410" s="13"/>
    </row>
    <row r="2411" spans="1:4" ht="12.75">
      <c r="A2411" s="17"/>
      <c r="B2411" s="33"/>
      <c r="C2411" s="192"/>
      <c r="D2411" s="13"/>
    </row>
    <row r="2412" spans="1:4" ht="30">
      <c r="A2412" s="8"/>
      <c r="B2412" s="45" t="s">
        <v>607</v>
      </c>
      <c r="C2412" s="46">
        <f>C2388-C2391</f>
        <v>-217950.81599999988</v>
      </c>
      <c r="D2412" s="5"/>
    </row>
    <row r="2413" spans="1:4" ht="15.75">
      <c r="A2413" s="8"/>
      <c r="B2413" s="45" t="s">
        <v>479</v>
      </c>
      <c r="C2413" s="46">
        <v>-39017.96</v>
      </c>
      <c r="D2413" s="5"/>
    </row>
    <row r="2414" spans="1:4" ht="15.75">
      <c r="A2414" s="8"/>
      <c r="B2414" s="45" t="s">
        <v>652</v>
      </c>
      <c r="C2414" s="46">
        <f>C2412+C2413</f>
        <v>-256968.77599999987</v>
      </c>
      <c r="D2414" s="5"/>
    </row>
    <row r="2415" spans="1:4" ht="15.75">
      <c r="A2415" s="8"/>
      <c r="B2415" s="45"/>
      <c r="C2415" s="46"/>
      <c r="D2415" s="5"/>
    </row>
    <row r="2416" spans="1:4" ht="15.75">
      <c r="A2416" s="8"/>
      <c r="B2416" s="45" t="s">
        <v>653</v>
      </c>
      <c r="C2416" s="46">
        <f>C2388-(C2384+C2385)</f>
        <v>-174994.61999999988</v>
      </c>
      <c r="D2416" s="13"/>
    </row>
    <row r="2417" spans="1:4" ht="15.75">
      <c r="A2417" s="8"/>
      <c r="B2417" s="45" t="s">
        <v>654</v>
      </c>
      <c r="C2417" s="46">
        <v>-93233.42</v>
      </c>
      <c r="D2417" s="5"/>
    </row>
    <row r="2418" spans="1:4" ht="52.5" customHeight="1">
      <c r="A2418" s="8"/>
      <c r="B2418" s="45" t="s">
        <v>726</v>
      </c>
      <c r="C2418" s="46">
        <v>-81761.2</v>
      </c>
      <c r="D2418" s="5"/>
    </row>
    <row r="2419" spans="1:3" ht="15.75">
      <c r="A2419" s="43"/>
      <c r="B2419" s="36" t="s">
        <v>608</v>
      </c>
      <c r="C2419" s="23">
        <v>14936.3</v>
      </c>
    </row>
    <row r="2420" ht="53.25" customHeight="1"/>
    <row r="2421" spans="2:4" ht="15">
      <c r="B2421" s="196" t="s">
        <v>609</v>
      </c>
      <c r="C2421" s="196"/>
      <c r="D2421" s="196"/>
    </row>
    <row r="2422" spans="2:4" ht="15">
      <c r="B2422" s="197" t="s">
        <v>704</v>
      </c>
      <c r="C2422" s="197"/>
      <c r="D2422" s="1"/>
    </row>
    <row r="2423" spans="2:4" ht="18.75">
      <c r="B2423" s="198" t="s">
        <v>93</v>
      </c>
      <c r="C2423" s="198"/>
      <c r="D2423" s="198"/>
    </row>
    <row r="2424" spans="2:4" ht="15.75">
      <c r="B2424" s="199" t="s">
        <v>612</v>
      </c>
      <c r="C2424" s="199"/>
      <c r="D2424" s="199"/>
    </row>
    <row r="2425" spans="2:4" ht="14.25">
      <c r="B2425" s="6"/>
      <c r="C2425" s="7"/>
      <c r="D2425" s="5"/>
    </row>
    <row r="2426" spans="1:4" ht="15">
      <c r="A2426" s="8"/>
      <c r="B2426" s="9" t="s">
        <v>613</v>
      </c>
      <c r="C2426" s="10">
        <v>2641.2</v>
      </c>
      <c r="D2426" s="5"/>
    </row>
    <row r="2427" spans="1:4" ht="12.75">
      <c r="A2427" s="8"/>
      <c r="B2427" s="11" t="s">
        <v>614</v>
      </c>
      <c r="C2427" s="12">
        <v>4.83</v>
      </c>
      <c r="D2427" s="13"/>
    </row>
    <row r="2428" spans="1:4" ht="12.75">
      <c r="A2428" s="8"/>
      <c r="B2428" s="14" t="s">
        <v>615</v>
      </c>
      <c r="C2428" s="12">
        <v>8.23</v>
      </c>
      <c r="D2428" s="13"/>
    </row>
    <row r="2429" spans="1:4" ht="18.75">
      <c r="A2429" s="8"/>
      <c r="B2429" s="15" t="s">
        <v>616</v>
      </c>
      <c r="C2429" s="16">
        <f>10911.26+4691.45+8999.97+19724.24</f>
        <v>44326.92</v>
      </c>
      <c r="D2429" s="13"/>
    </row>
    <row r="2430" spans="1:4" ht="18.75">
      <c r="A2430" s="17">
        <v>1</v>
      </c>
      <c r="B2430" s="18" t="s">
        <v>617</v>
      </c>
      <c r="C2430" s="16">
        <f>C2431+C2432</f>
        <v>616259.66</v>
      </c>
      <c r="D2430" s="5"/>
    </row>
    <row r="2431" spans="1:4" ht="15">
      <c r="A2431" s="17" t="s">
        <v>706</v>
      </c>
      <c r="B2431" s="19" t="s">
        <v>591</v>
      </c>
      <c r="C2431" s="20">
        <f>152754.44+260315.97</f>
        <v>413070.41000000003</v>
      </c>
      <c r="D2431" s="5"/>
    </row>
    <row r="2432" spans="1:4" ht="15">
      <c r="A2432" s="17" t="s">
        <v>708</v>
      </c>
      <c r="B2432" s="19" t="s">
        <v>709</v>
      </c>
      <c r="C2432" s="20">
        <f>71789.74+131399.51</f>
        <v>203189.25</v>
      </c>
      <c r="D2432" s="5"/>
    </row>
    <row r="2433" spans="1:4" ht="18">
      <c r="A2433" s="17">
        <v>2</v>
      </c>
      <c r="B2433" s="18" t="s">
        <v>620</v>
      </c>
      <c r="C2433" s="21">
        <f>C2434+C2435</f>
        <v>573667.19</v>
      </c>
      <c r="D2433" s="13"/>
    </row>
    <row r="2434" spans="1:4" ht="15.75">
      <c r="A2434" s="17" t="s">
        <v>621</v>
      </c>
      <c r="B2434" s="157" t="s">
        <v>545</v>
      </c>
      <c r="C2434" s="23">
        <f>142448.87+243895.68</f>
        <v>386344.55</v>
      </c>
      <c r="D2434" s="13"/>
    </row>
    <row r="2435" spans="1:4" ht="15.75">
      <c r="A2435" s="17" t="s">
        <v>623</v>
      </c>
      <c r="B2435" s="157" t="s">
        <v>416</v>
      </c>
      <c r="C2435" s="23">
        <f>66071.45+121251.19</f>
        <v>187322.64</v>
      </c>
      <c r="D2435" s="5"/>
    </row>
    <row r="2436" spans="1:4" ht="36">
      <c r="A2436" s="17">
        <v>5</v>
      </c>
      <c r="B2436" s="24" t="s">
        <v>625</v>
      </c>
      <c r="C2436" s="27">
        <f>C2437+C2439</f>
        <v>505422.0815</v>
      </c>
      <c r="D2436" s="13"/>
    </row>
    <row r="2437" spans="1:4" ht="18.75">
      <c r="A2437" s="86" t="s">
        <v>627</v>
      </c>
      <c r="B2437" s="87" t="s">
        <v>626</v>
      </c>
      <c r="C2437" s="27">
        <f>C2438</f>
        <v>242662.13999999998</v>
      </c>
      <c r="D2437" s="13"/>
    </row>
    <row r="2438" spans="1:4" ht="15.75">
      <c r="A2438" s="17"/>
      <c r="B2438" s="87" t="s">
        <v>713</v>
      </c>
      <c r="C2438" s="88">
        <f>4122*58.87</f>
        <v>242662.13999999998</v>
      </c>
      <c r="D2438" s="13"/>
    </row>
    <row r="2439" spans="1:4" ht="18.75">
      <c r="A2439" s="17" t="s">
        <v>629</v>
      </c>
      <c r="B2439" s="87" t="s">
        <v>630</v>
      </c>
      <c r="C2439" s="27">
        <f>C2440+C2441++C2442+C2443+C2444+C2445+C2446+C2447+C2448+C2449+C2450</f>
        <v>262759.9415</v>
      </c>
      <c r="D2439" s="13"/>
    </row>
    <row r="2440" spans="1:4" ht="25.5">
      <c r="A2440" s="30" t="s">
        <v>631</v>
      </c>
      <c r="B2440" s="31" t="s">
        <v>632</v>
      </c>
      <c r="C2440" s="32">
        <v>58194.89</v>
      </c>
      <c r="D2440" s="5"/>
    </row>
    <row r="2441" spans="1:4" ht="12.75">
      <c r="A2441" s="17" t="s">
        <v>633</v>
      </c>
      <c r="B2441" s="33" t="s">
        <v>634</v>
      </c>
      <c r="C2441" s="34">
        <v>52.11</v>
      </c>
      <c r="D2441" s="5"/>
    </row>
    <row r="2442" spans="1:4" ht="12.75">
      <c r="A2442" s="17"/>
      <c r="B2442" s="36" t="s">
        <v>94</v>
      </c>
      <c r="C2442" s="34">
        <v>472.47</v>
      </c>
      <c r="D2442" s="5"/>
    </row>
    <row r="2443" spans="1:4" ht="12.75">
      <c r="A2443" s="17"/>
      <c r="B2443" s="36" t="s">
        <v>95</v>
      </c>
      <c r="C2443" s="34">
        <v>165</v>
      </c>
      <c r="D2443" s="5"/>
    </row>
    <row r="2444" spans="1:4" ht="24">
      <c r="A2444" s="17"/>
      <c r="B2444" s="37" t="s">
        <v>96</v>
      </c>
      <c r="C2444" s="34">
        <f>1360+310+1900</f>
        <v>3570</v>
      </c>
      <c r="D2444" s="5"/>
    </row>
    <row r="2445" spans="1:4" ht="12.75">
      <c r="A2445" s="17" t="s">
        <v>635</v>
      </c>
      <c r="B2445" s="35" t="s">
        <v>746</v>
      </c>
      <c r="C2445" s="34">
        <v>63929.16</v>
      </c>
      <c r="D2445" s="5"/>
    </row>
    <row r="2446" spans="1:4" ht="12.75">
      <c r="A2446" s="17" t="s">
        <v>637</v>
      </c>
      <c r="B2446" s="35" t="s">
        <v>640</v>
      </c>
      <c r="C2446" s="34">
        <v>15467.76</v>
      </c>
      <c r="D2446" s="5"/>
    </row>
    <row r="2447" spans="1:4" ht="12.75">
      <c r="A2447" s="30" t="s">
        <v>639</v>
      </c>
      <c r="B2447" s="33" t="s">
        <v>97</v>
      </c>
      <c r="C2447" s="34">
        <f>12.1*230*12</f>
        <v>33396</v>
      </c>
      <c r="D2447" s="5"/>
    </row>
    <row r="2448" spans="1:4" ht="12.75">
      <c r="A2448" s="30" t="s">
        <v>645</v>
      </c>
      <c r="B2448" s="94" t="s">
        <v>98</v>
      </c>
      <c r="C2448" s="41">
        <f>27*(119.5+56.3)+250</f>
        <v>4996.6</v>
      </c>
      <c r="D2448" s="5"/>
    </row>
    <row r="2449" spans="1:4" ht="12.75">
      <c r="A2449" s="30" t="s">
        <v>647</v>
      </c>
      <c r="B2449" s="33" t="s">
        <v>646</v>
      </c>
      <c r="C2449" s="34">
        <f>C2431*0.15</f>
        <v>61960.5615</v>
      </c>
      <c r="D2449" s="5"/>
    </row>
    <row r="2450" spans="1:4" ht="12.75">
      <c r="A2450" s="17" t="s">
        <v>717</v>
      </c>
      <c r="B2450" s="33" t="s">
        <v>648</v>
      </c>
      <c r="C2450" s="192">
        <f>C2452+C2453+C2454</f>
        <v>20555.39</v>
      </c>
      <c r="D2450" s="13"/>
    </row>
    <row r="2451" spans="1:4" ht="12.75">
      <c r="A2451" s="17"/>
      <c r="B2451" s="39" t="s">
        <v>649</v>
      </c>
      <c r="C2451" s="34"/>
      <c r="D2451" s="13"/>
    </row>
    <row r="2452" spans="1:4" ht="12.75">
      <c r="A2452" s="8"/>
      <c r="B2452" s="37" t="s">
        <v>99</v>
      </c>
      <c r="C2452" s="200">
        <v>1892.22</v>
      </c>
      <c r="D2452" s="5"/>
    </row>
    <row r="2453" spans="1:4" ht="12.75">
      <c r="A2453" s="8"/>
      <c r="B2453" s="37" t="s">
        <v>100</v>
      </c>
      <c r="C2453" s="200">
        <v>6594.79</v>
      </c>
      <c r="D2453" s="5"/>
    </row>
    <row r="2454" spans="1:4" ht="24">
      <c r="A2454" s="8"/>
      <c r="B2454" s="37" t="s">
        <v>101</v>
      </c>
      <c r="C2454" s="200">
        <v>12068.38</v>
      </c>
      <c r="D2454" s="5"/>
    </row>
    <row r="2455" spans="1:4" ht="30">
      <c r="A2455" s="8"/>
      <c r="B2455" s="45" t="s">
        <v>607</v>
      </c>
      <c r="C2455" s="46">
        <f>C2433-C2436</f>
        <v>68245.10849999997</v>
      </c>
      <c r="D2455" s="5"/>
    </row>
    <row r="2456" spans="1:4" ht="15.75">
      <c r="A2456" s="8"/>
      <c r="B2456" s="45" t="s">
        <v>479</v>
      </c>
      <c r="C2456" s="46">
        <v>-141464.9</v>
      </c>
      <c r="D2456" s="5"/>
    </row>
    <row r="2457" spans="1:4" ht="15.75">
      <c r="A2457" s="8"/>
      <c r="B2457" s="45" t="s">
        <v>652</v>
      </c>
      <c r="C2457" s="46">
        <f>C2455+C2456</f>
        <v>-73219.79150000002</v>
      </c>
      <c r="D2457" s="5"/>
    </row>
    <row r="2458" spans="1:4" ht="15.75">
      <c r="A2458" s="8"/>
      <c r="B2458" s="45"/>
      <c r="C2458" s="46"/>
      <c r="D2458" s="5"/>
    </row>
    <row r="2459" spans="1:4" ht="15.75">
      <c r="A2459" s="8"/>
      <c r="B2459" s="45" t="s">
        <v>653</v>
      </c>
      <c r="C2459" s="46">
        <f>C2433-(C2429+C2430)</f>
        <v>-86919.39000000013</v>
      </c>
      <c r="D2459" s="13"/>
    </row>
    <row r="2460" spans="1:4" ht="15.75">
      <c r="A2460" s="8"/>
      <c r="B2460" s="45" t="s">
        <v>654</v>
      </c>
      <c r="C2460" s="46">
        <v>-57361.36</v>
      </c>
      <c r="D2460" s="5"/>
    </row>
    <row r="2461" spans="1:4" ht="15.75">
      <c r="A2461" s="8"/>
      <c r="B2461" s="45" t="s">
        <v>726</v>
      </c>
      <c r="C2461" s="46">
        <v>-29558.03</v>
      </c>
      <c r="D2461" s="5"/>
    </row>
    <row r="2462" spans="1:4" ht="15.75">
      <c r="A2462" s="43"/>
      <c r="B2462" s="168"/>
      <c r="C2462" s="49"/>
      <c r="D2462" s="5"/>
    </row>
    <row r="2463" ht="12.75">
      <c r="B2463" t="s">
        <v>755</v>
      </c>
    </row>
    <row r="2464" ht="12.75">
      <c r="B2464" t="s">
        <v>63</v>
      </c>
    </row>
    <row r="2465" spans="2:3" ht="12.75">
      <c r="B2465" t="s">
        <v>102</v>
      </c>
      <c r="C2465" s="113">
        <f>4122*58.87</f>
        <v>242662.13999999998</v>
      </c>
    </row>
    <row r="2466" spans="2:3" ht="12.75">
      <c r="B2466" t="s">
        <v>103</v>
      </c>
      <c r="C2466" s="113">
        <f>3451.49*58.87</f>
        <v>203189.21629999997</v>
      </c>
    </row>
    <row r="2467" spans="2:3" ht="15">
      <c r="B2467" s="114" t="s">
        <v>104</v>
      </c>
      <c r="C2467" s="115">
        <f>C2465-C2466</f>
        <v>39472.923700000014</v>
      </c>
    </row>
    <row r="2468" ht="51.75" customHeight="1"/>
    <row r="2469" spans="2:4" ht="15">
      <c r="B2469" s="196" t="s">
        <v>609</v>
      </c>
      <c r="C2469" s="196"/>
      <c r="D2469" s="196"/>
    </row>
    <row r="2470" spans="2:4" ht="15">
      <c r="B2470" s="197" t="s">
        <v>610</v>
      </c>
      <c r="C2470" s="197"/>
      <c r="D2470" s="1"/>
    </row>
    <row r="2471" spans="2:4" ht="18.75">
      <c r="B2471" s="198" t="s">
        <v>105</v>
      </c>
      <c r="C2471" s="198"/>
      <c r="D2471" s="198"/>
    </row>
    <row r="2472" spans="2:4" ht="15.75">
      <c r="B2472" s="199" t="s">
        <v>612</v>
      </c>
      <c r="C2472" s="199"/>
      <c r="D2472" s="199"/>
    </row>
    <row r="2473" spans="2:4" ht="12.75">
      <c r="B2473" s="3"/>
      <c r="C2473" s="4"/>
      <c r="D2473" s="5"/>
    </row>
    <row r="2474" spans="2:4" ht="14.25">
      <c r="B2474" s="6"/>
      <c r="C2474" s="7"/>
      <c r="D2474" s="5"/>
    </row>
    <row r="2475" spans="1:4" ht="15.75">
      <c r="A2475" s="8"/>
      <c r="B2475" s="51" t="s">
        <v>613</v>
      </c>
      <c r="C2475" s="99">
        <v>531.2</v>
      </c>
      <c r="D2475" s="5"/>
    </row>
    <row r="2476" spans="1:4" ht="15">
      <c r="A2476" s="8"/>
      <c r="B2476" s="53" t="s">
        <v>667</v>
      </c>
      <c r="C2476" s="54">
        <v>3.2</v>
      </c>
      <c r="D2476" s="13"/>
    </row>
    <row r="2477" spans="1:4" ht="15">
      <c r="A2477" s="8"/>
      <c r="B2477" s="55" t="s">
        <v>615</v>
      </c>
      <c r="C2477" s="56">
        <v>5.49</v>
      </c>
      <c r="D2477" s="13"/>
    </row>
    <row r="2478" spans="1:4" ht="18.75">
      <c r="A2478" s="8"/>
      <c r="B2478" s="15" t="s">
        <v>616</v>
      </c>
      <c r="C2478" s="57">
        <f>1991.16+3411.22</f>
        <v>5402.38</v>
      </c>
      <c r="D2478" s="13"/>
    </row>
    <row r="2479" spans="1:4" ht="18">
      <c r="A2479" s="17">
        <v>1</v>
      </c>
      <c r="B2479" s="18" t="s">
        <v>668</v>
      </c>
      <c r="C2479" s="21">
        <f>20396.88+34993.56</f>
        <v>55390.44</v>
      </c>
      <c r="D2479" s="5"/>
    </row>
    <row r="2480" spans="1:4" ht="18">
      <c r="A2480" s="17">
        <v>2</v>
      </c>
      <c r="B2480" s="58" t="s">
        <v>669</v>
      </c>
      <c r="C2480" s="59">
        <f>(C2478+C2479)-C2482</f>
        <v>56604.25</v>
      </c>
      <c r="D2480" s="5"/>
    </row>
    <row r="2481" spans="1:4" ht="15">
      <c r="A2481" s="17">
        <v>3</v>
      </c>
      <c r="B2481" s="19" t="s">
        <v>670</v>
      </c>
      <c r="C2481" s="20"/>
      <c r="D2481" s="5"/>
    </row>
    <row r="2482" spans="1:4" ht="18.75">
      <c r="A2482" s="17"/>
      <c r="B2482" s="60" t="s">
        <v>671</v>
      </c>
      <c r="C2482" s="16">
        <f>1542.45+2646.12</f>
        <v>4188.57</v>
      </c>
      <c r="D2482" s="5"/>
    </row>
    <row r="2483" spans="1:4" ht="15">
      <c r="A2483" s="61"/>
      <c r="B2483" s="62"/>
      <c r="C2483" s="63"/>
      <c r="D2483" s="5"/>
    </row>
    <row r="2484" spans="1:4" ht="15">
      <c r="A2484" s="61"/>
      <c r="B2484" s="62"/>
      <c r="C2484" s="63"/>
      <c r="D2484" s="5"/>
    </row>
    <row r="2485" spans="1:4" ht="31.5">
      <c r="A2485" s="17">
        <v>4</v>
      </c>
      <c r="B2485" s="64" t="s">
        <v>625</v>
      </c>
      <c r="C2485" s="65">
        <f>C2486+C2487+C2488+C2489+C2490+C2491</f>
        <v>19584.766000000003</v>
      </c>
      <c r="D2485" s="5"/>
    </row>
    <row r="2486" spans="1:4" ht="26.25">
      <c r="A2486" s="30" t="s">
        <v>672</v>
      </c>
      <c r="B2486" s="31" t="s">
        <v>632</v>
      </c>
      <c r="C2486" s="66">
        <v>1261.16</v>
      </c>
      <c r="D2486" s="5"/>
    </row>
    <row r="2487" spans="1:4" ht="15.75">
      <c r="A2487" s="17" t="s">
        <v>673</v>
      </c>
      <c r="B2487" s="79" t="s">
        <v>699</v>
      </c>
      <c r="C2487" s="23">
        <v>37.67</v>
      </c>
      <c r="D2487" s="5"/>
    </row>
    <row r="2488" spans="1:4" ht="15.75">
      <c r="A2488" s="17" t="s">
        <v>676</v>
      </c>
      <c r="B2488" s="83" t="s">
        <v>9</v>
      </c>
      <c r="C2488" s="23">
        <v>3077.37</v>
      </c>
      <c r="D2488" s="5"/>
    </row>
    <row r="2489" spans="1:4" ht="15.75">
      <c r="A2489" s="17" t="s">
        <v>31</v>
      </c>
      <c r="B2489" s="81" t="s">
        <v>106</v>
      </c>
      <c r="C2489" s="69">
        <f>2.5*230*12</f>
        <v>6900</v>
      </c>
      <c r="D2489" s="5"/>
    </row>
    <row r="2490" spans="1:4" ht="15.75">
      <c r="A2490" s="8" t="s">
        <v>33</v>
      </c>
      <c r="B2490" s="82" t="s">
        <v>703</v>
      </c>
      <c r="C2490" s="71">
        <f>C2479*0.15</f>
        <v>8308.566</v>
      </c>
      <c r="D2490" s="5"/>
    </row>
    <row r="2491" spans="1:4" ht="15.75">
      <c r="A2491" s="8" t="s">
        <v>34</v>
      </c>
      <c r="B2491" s="79" t="s">
        <v>35</v>
      </c>
      <c r="C2491" s="23">
        <v>0</v>
      </c>
      <c r="D2491" s="5"/>
    </row>
    <row r="2492" spans="1:3" ht="18">
      <c r="A2492" s="8"/>
      <c r="B2492" s="73" t="s">
        <v>683</v>
      </c>
      <c r="C2492" s="74">
        <v>59183.61</v>
      </c>
    </row>
    <row r="2493" spans="1:4" ht="18">
      <c r="A2493" s="8"/>
      <c r="B2493" s="73" t="s">
        <v>36</v>
      </c>
      <c r="C2493" s="59">
        <f>C2480-C2485</f>
        <v>37019.484</v>
      </c>
      <c r="D2493" s="75"/>
    </row>
    <row r="2494" spans="1:3" ht="18.75">
      <c r="A2494" s="8"/>
      <c r="B2494" s="76" t="s">
        <v>652</v>
      </c>
      <c r="C2494" s="74">
        <f>SUM(C2492:C2493)</f>
        <v>96203.094</v>
      </c>
    </row>
    <row r="2495" ht="52.5" customHeight="1"/>
    <row r="2496" spans="2:4" ht="15">
      <c r="B2496" s="196" t="s">
        <v>609</v>
      </c>
      <c r="C2496" s="196"/>
      <c r="D2496" s="196"/>
    </row>
    <row r="2497" spans="2:4" ht="15">
      <c r="B2497" s="197" t="s">
        <v>610</v>
      </c>
      <c r="C2497" s="197"/>
      <c r="D2497" s="1"/>
    </row>
    <row r="2498" spans="2:4" ht="18.75">
      <c r="B2498" s="198" t="s">
        <v>107</v>
      </c>
      <c r="C2498" s="198"/>
      <c r="D2498" s="198"/>
    </row>
    <row r="2499" spans="2:4" ht="15.75">
      <c r="B2499" s="199" t="s">
        <v>612</v>
      </c>
      <c r="C2499" s="199"/>
      <c r="D2499" s="199"/>
    </row>
    <row r="2500" spans="2:4" ht="12.75">
      <c r="B2500" s="3"/>
      <c r="C2500" s="4"/>
      <c r="D2500" s="5"/>
    </row>
    <row r="2501" spans="2:4" ht="14.25">
      <c r="B2501" s="6"/>
      <c r="C2501" s="7"/>
      <c r="D2501" s="5"/>
    </row>
    <row r="2502" spans="1:4" ht="15">
      <c r="A2502" s="8"/>
      <c r="B2502" s="9" t="s">
        <v>613</v>
      </c>
      <c r="C2502" s="10">
        <v>332.52</v>
      </c>
      <c r="D2502" s="5"/>
    </row>
    <row r="2503" spans="1:4" ht="12.75">
      <c r="A2503" s="8"/>
      <c r="B2503" s="11" t="s">
        <v>614</v>
      </c>
      <c r="C2503" s="12">
        <v>3.2</v>
      </c>
      <c r="D2503" s="13"/>
    </row>
    <row r="2504" spans="1:4" ht="12.75">
      <c r="A2504" s="8"/>
      <c r="B2504" s="14" t="s">
        <v>615</v>
      </c>
      <c r="C2504" s="12">
        <v>5.49</v>
      </c>
      <c r="D2504" s="13"/>
    </row>
    <row r="2505" spans="1:4" ht="18.75">
      <c r="A2505" s="8"/>
      <c r="B2505" s="15" t="s">
        <v>616</v>
      </c>
      <c r="C2505" s="16">
        <f>8253.75+14135.94</f>
        <v>22389.690000000002</v>
      </c>
      <c r="D2505" s="13"/>
    </row>
    <row r="2506" spans="1:4" ht="18.75">
      <c r="A2506" s="17">
        <v>1</v>
      </c>
      <c r="B2506" s="18" t="s">
        <v>617</v>
      </c>
      <c r="C2506" s="16">
        <f>C2507+C2508</f>
        <v>34675.08</v>
      </c>
      <c r="D2506" s="5"/>
    </row>
    <row r="2507" spans="1:4" ht="15">
      <c r="A2507" s="17"/>
      <c r="B2507" s="19" t="s">
        <v>618</v>
      </c>
      <c r="C2507" s="20">
        <f>12768.72+21906.36</f>
        <v>34675.08</v>
      </c>
      <c r="D2507" s="5"/>
    </row>
    <row r="2508" spans="1:4" ht="15">
      <c r="A2508" s="17"/>
      <c r="B2508" s="19" t="s">
        <v>807</v>
      </c>
      <c r="C2508" s="20">
        <v>0</v>
      </c>
      <c r="D2508" s="5"/>
    </row>
    <row r="2509" spans="1:4" ht="18">
      <c r="A2509" s="17">
        <v>2</v>
      </c>
      <c r="B2509" s="18" t="s">
        <v>620</v>
      </c>
      <c r="C2509" s="21">
        <f>C2510+C2511</f>
        <v>33878.990000000005</v>
      </c>
      <c r="D2509" s="5"/>
    </row>
    <row r="2510" spans="1:4" ht="15.75">
      <c r="A2510" s="17"/>
      <c r="B2510" s="102" t="s">
        <v>743</v>
      </c>
      <c r="C2510" s="23">
        <f>(C2505+C2506)+C2525</f>
        <v>33878.990000000005</v>
      </c>
      <c r="D2510" s="5"/>
    </row>
    <row r="2511" spans="1:4" ht="15.75">
      <c r="A2511" s="17"/>
      <c r="B2511" s="102" t="s">
        <v>108</v>
      </c>
      <c r="C2511" s="23">
        <v>0</v>
      </c>
      <c r="D2511" s="5"/>
    </row>
    <row r="2512" spans="1:4" ht="36">
      <c r="A2512" s="17">
        <v>5</v>
      </c>
      <c r="B2512" s="24" t="s">
        <v>625</v>
      </c>
      <c r="C2512" s="25">
        <f>C2513+C2515</f>
        <v>77550.492</v>
      </c>
      <c r="D2512" s="5"/>
    </row>
    <row r="2513" spans="1:4" ht="18.75">
      <c r="A2513" s="17"/>
      <c r="B2513" s="26" t="s">
        <v>626</v>
      </c>
      <c r="C2513" s="27">
        <f>C2514</f>
        <v>0</v>
      </c>
      <c r="D2513" s="5"/>
    </row>
    <row r="2514" spans="1:4" ht="15">
      <c r="A2514" s="17" t="s">
        <v>627</v>
      </c>
      <c r="B2514" s="28" t="s">
        <v>628</v>
      </c>
      <c r="C2514" s="29">
        <v>0</v>
      </c>
      <c r="D2514" s="5"/>
    </row>
    <row r="2515" spans="1:4" ht="18.75">
      <c r="A2515" s="17"/>
      <c r="B2515" s="26" t="s">
        <v>630</v>
      </c>
      <c r="C2515" s="27">
        <f>C2516+C2517+C2518+C2519+C2520+C2521</f>
        <v>77550.492</v>
      </c>
      <c r="D2515" s="5"/>
    </row>
    <row r="2516" spans="1:4" ht="25.5">
      <c r="A2516" s="30" t="s">
        <v>631</v>
      </c>
      <c r="B2516" s="31" t="s">
        <v>632</v>
      </c>
      <c r="C2516" s="32">
        <v>1148.55</v>
      </c>
      <c r="D2516" s="5"/>
    </row>
    <row r="2517" spans="1:4" ht="12.75">
      <c r="A2517" s="17" t="s">
        <v>633</v>
      </c>
      <c r="B2517" s="33" t="s">
        <v>634</v>
      </c>
      <c r="C2517" s="34">
        <v>23.36</v>
      </c>
      <c r="D2517" s="5"/>
    </row>
    <row r="2518" spans="1:4" ht="12.75">
      <c r="A2518" s="17" t="s">
        <v>637</v>
      </c>
      <c r="B2518" s="35" t="s">
        <v>640</v>
      </c>
      <c r="C2518" s="34">
        <v>1032.3</v>
      </c>
      <c r="D2518" s="5"/>
    </row>
    <row r="2519" spans="1:4" ht="12.75">
      <c r="A2519" s="30" t="s">
        <v>639</v>
      </c>
      <c r="B2519" s="33" t="s">
        <v>109</v>
      </c>
      <c r="C2519" s="34">
        <f>1.2*230*12</f>
        <v>3312</v>
      </c>
      <c r="D2519" s="5"/>
    </row>
    <row r="2520" spans="1:3" ht="12.75">
      <c r="A2520" s="30" t="s">
        <v>641</v>
      </c>
      <c r="B2520" s="33" t="s">
        <v>646</v>
      </c>
      <c r="C2520" s="34">
        <f>C2507*0.15</f>
        <v>5201.262</v>
      </c>
    </row>
    <row r="2521" spans="1:3" ht="12.75">
      <c r="A2521" s="17" t="s">
        <v>643</v>
      </c>
      <c r="B2521" s="33" t="s">
        <v>648</v>
      </c>
      <c r="C2521" s="34">
        <v>66833.02</v>
      </c>
    </row>
    <row r="2522" spans="1:4" ht="30">
      <c r="A2522" s="8"/>
      <c r="B2522" s="45" t="s">
        <v>110</v>
      </c>
      <c r="C2522" s="46">
        <f>C2509-C2512</f>
        <v>-43671.50199999999</v>
      </c>
      <c r="D2522" s="43"/>
    </row>
    <row r="2523" spans="1:4" ht="15.75">
      <c r="A2523" s="8"/>
      <c r="B2523" s="45" t="s">
        <v>479</v>
      </c>
      <c r="C2523" s="46">
        <v>24801.68</v>
      </c>
      <c r="D2523" s="49"/>
    </row>
    <row r="2524" spans="1:4" ht="15.75">
      <c r="A2524" s="8"/>
      <c r="B2524" s="45" t="s">
        <v>652</v>
      </c>
      <c r="C2524" s="46">
        <f>SUM(C2522:C2523)</f>
        <v>-18869.821999999993</v>
      </c>
      <c r="D2524" s="43"/>
    </row>
    <row r="2525" spans="1:3" ht="15.75">
      <c r="A2525" s="8"/>
      <c r="B2525" s="45" t="s">
        <v>653</v>
      </c>
      <c r="C2525" s="46">
        <f>C2526</f>
        <v>-23185.78</v>
      </c>
    </row>
    <row r="2526" spans="1:3" ht="15.75">
      <c r="A2526" s="8"/>
      <c r="B2526" s="45" t="s">
        <v>654</v>
      </c>
      <c r="C2526" s="46">
        <v>-23185.78</v>
      </c>
    </row>
    <row r="2527" spans="1:3" ht="15.75">
      <c r="A2527" s="8"/>
      <c r="B2527" s="45" t="s">
        <v>655</v>
      </c>
      <c r="C2527" s="46">
        <v>0</v>
      </c>
    </row>
    <row r="2528" ht="53.25" customHeight="1"/>
    <row r="2529" spans="2:4" ht="15">
      <c r="B2529" s="196" t="s">
        <v>609</v>
      </c>
      <c r="C2529" s="196"/>
      <c r="D2529" s="196"/>
    </row>
    <row r="2530" spans="2:4" ht="15">
      <c r="B2530" s="197" t="s">
        <v>610</v>
      </c>
      <c r="C2530" s="197"/>
      <c r="D2530" s="1"/>
    </row>
    <row r="2531" spans="2:4" ht="18.75">
      <c r="B2531" s="198" t="s">
        <v>111</v>
      </c>
      <c r="C2531" s="198"/>
      <c r="D2531" s="198"/>
    </row>
    <row r="2532" spans="2:4" ht="15.75">
      <c r="B2532" s="199" t="s">
        <v>612</v>
      </c>
      <c r="C2532" s="199"/>
      <c r="D2532" s="199"/>
    </row>
    <row r="2533" spans="2:4" ht="12.75">
      <c r="B2533" s="3"/>
      <c r="C2533" s="4"/>
      <c r="D2533" s="5"/>
    </row>
    <row r="2534" spans="2:4" ht="14.25">
      <c r="B2534" s="6"/>
      <c r="C2534" s="7"/>
      <c r="D2534" s="5"/>
    </row>
    <row r="2535" spans="1:4" ht="15.75">
      <c r="A2535" s="8"/>
      <c r="B2535" s="51" t="s">
        <v>613</v>
      </c>
      <c r="C2535" s="99">
        <v>319.23</v>
      </c>
      <c r="D2535" s="5"/>
    </row>
    <row r="2536" spans="1:4" ht="15">
      <c r="A2536" s="8"/>
      <c r="B2536" s="53" t="s">
        <v>667</v>
      </c>
      <c r="C2536" s="54">
        <v>3.2</v>
      </c>
      <c r="D2536" s="13"/>
    </row>
    <row r="2537" spans="1:4" ht="15">
      <c r="A2537" s="8"/>
      <c r="B2537" s="55" t="s">
        <v>615</v>
      </c>
      <c r="C2537" s="56">
        <v>5.49</v>
      </c>
      <c r="D2537" s="13"/>
    </row>
    <row r="2538" spans="1:4" ht="18.75">
      <c r="A2538" s="8"/>
      <c r="B2538" s="15" t="s">
        <v>616</v>
      </c>
      <c r="C2538" s="57">
        <f>1425.79+2442.7</f>
        <v>3868.49</v>
      </c>
      <c r="D2538" s="13"/>
    </row>
    <row r="2539" spans="1:4" ht="18">
      <c r="A2539" s="17">
        <v>1</v>
      </c>
      <c r="B2539" s="18" t="s">
        <v>668</v>
      </c>
      <c r="C2539" s="21">
        <f>12258.36+21030.96</f>
        <v>33289.32</v>
      </c>
      <c r="D2539" s="5"/>
    </row>
    <row r="2540" spans="1:4" ht="18">
      <c r="A2540" s="17">
        <v>2</v>
      </c>
      <c r="B2540" s="58" t="s">
        <v>669</v>
      </c>
      <c r="C2540" s="59">
        <f>(C2538+C2539)-C2542</f>
        <v>33820.34</v>
      </c>
      <c r="D2540" s="5"/>
    </row>
    <row r="2541" spans="1:4" ht="15">
      <c r="A2541" s="17">
        <v>3</v>
      </c>
      <c r="B2541" s="19" t="s">
        <v>670</v>
      </c>
      <c r="C2541" s="20"/>
      <c r="D2541" s="5"/>
    </row>
    <row r="2542" spans="1:4" ht="18.75">
      <c r="A2542" s="17"/>
      <c r="B2542" s="60" t="s">
        <v>671</v>
      </c>
      <c r="C2542" s="16">
        <f>1229.01+2108.46</f>
        <v>3337.4700000000003</v>
      </c>
      <c r="D2542" s="5"/>
    </row>
    <row r="2543" spans="1:4" ht="15">
      <c r="A2543" s="61"/>
      <c r="B2543" s="62"/>
      <c r="C2543" s="63"/>
      <c r="D2543" s="5"/>
    </row>
    <row r="2544" spans="1:4" ht="15">
      <c r="A2544" s="61"/>
      <c r="B2544" s="62"/>
      <c r="C2544" s="63"/>
      <c r="D2544" s="5"/>
    </row>
    <row r="2545" spans="1:4" ht="31.5">
      <c r="A2545" s="17">
        <v>4</v>
      </c>
      <c r="B2545" s="64" t="s">
        <v>625</v>
      </c>
      <c r="C2545" s="27">
        <f>C2546+C2547+C2548+C2549+C2550+C2551</f>
        <v>35471.208</v>
      </c>
      <c r="D2545" s="5"/>
    </row>
    <row r="2546" spans="1:4" ht="26.25">
      <c r="A2546" s="30" t="s">
        <v>672</v>
      </c>
      <c r="B2546" s="31" t="s">
        <v>632</v>
      </c>
      <c r="C2546" s="66">
        <v>1273.36</v>
      </c>
      <c r="D2546" s="5"/>
    </row>
    <row r="2547" spans="1:4" ht="15.75">
      <c r="A2547" s="17" t="s">
        <v>673</v>
      </c>
      <c r="B2547" s="79" t="s">
        <v>699</v>
      </c>
      <c r="C2547" s="23">
        <v>22.51</v>
      </c>
      <c r="D2547" s="5"/>
    </row>
    <row r="2548" spans="1:4" ht="15.75">
      <c r="A2548" s="17" t="s">
        <v>676</v>
      </c>
      <c r="B2548" s="83" t="s">
        <v>9</v>
      </c>
      <c r="C2548" s="23">
        <v>1540.08</v>
      </c>
      <c r="D2548" s="5"/>
    </row>
    <row r="2549" spans="1:4" ht="15.75">
      <c r="A2549" s="17" t="s">
        <v>31</v>
      </c>
      <c r="B2549" s="81" t="s">
        <v>471</v>
      </c>
      <c r="C2549" s="69">
        <f>1.9*230*12</f>
        <v>5244</v>
      </c>
      <c r="D2549" s="5"/>
    </row>
    <row r="2550" spans="1:4" ht="15.75">
      <c r="A2550" s="8" t="s">
        <v>33</v>
      </c>
      <c r="B2550" s="82" t="s">
        <v>703</v>
      </c>
      <c r="C2550" s="71">
        <f>C2539*0.15</f>
        <v>4993.398</v>
      </c>
      <c r="D2550" s="5"/>
    </row>
    <row r="2551" spans="1:4" ht="15.75">
      <c r="A2551" s="8" t="s">
        <v>34</v>
      </c>
      <c r="B2551" s="79" t="s">
        <v>35</v>
      </c>
      <c r="C2551" s="23">
        <v>22397.86</v>
      </c>
      <c r="D2551" s="5"/>
    </row>
    <row r="2552" spans="1:3" ht="18">
      <c r="A2552" s="8"/>
      <c r="B2552" s="73" t="s">
        <v>683</v>
      </c>
      <c r="C2552" s="74">
        <v>16974.01</v>
      </c>
    </row>
    <row r="2553" spans="1:4" ht="18">
      <c r="A2553" s="8"/>
      <c r="B2553" s="73" t="s">
        <v>36</v>
      </c>
      <c r="C2553" s="59">
        <f>C2540-C2545</f>
        <v>-1650.8680000000022</v>
      </c>
      <c r="D2553" s="75"/>
    </row>
    <row r="2554" spans="1:3" ht="18.75">
      <c r="A2554" s="8"/>
      <c r="B2554" s="76" t="s">
        <v>652</v>
      </c>
      <c r="C2554" s="74">
        <f>SUM(C2552:C2553)</f>
        <v>15323.141999999996</v>
      </c>
    </row>
    <row r="2555" ht="53.25" customHeight="1"/>
    <row r="2556" spans="2:4" ht="15">
      <c r="B2556" s="196" t="s">
        <v>609</v>
      </c>
      <c r="C2556" s="196"/>
      <c r="D2556" s="196"/>
    </row>
    <row r="2557" spans="2:4" ht="15">
      <c r="B2557" s="197" t="s">
        <v>610</v>
      </c>
      <c r="C2557" s="197"/>
      <c r="D2557" s="1"/>
    </row>
    <row r="2558" spans="2:4" ht="18.75">
      <c r="B2558" s="198" t="s">
        <v>112</v>
      </c>
      <c r="C2558" s="198"/>
      <c r="D2558" s="198"/>
    </row>
    <row r="2559" spans="2:4" ht="15.75">
      <c r="B2559" s="199" t="s">
        <v>612</v>
      </c>
      <c r="C2559" s="199"/>
      <c r="D2559" s="199"/>
    </row>
    <row r="2560" spans="2:4" ht="12.75">
      <c r="B2560" s="3"/>
      <c r="C2560" s="4"/>
      <c r="D2560" s="5"/>
    </row>
    <row r="2561" spans="2:4" ht="14.25">
      <c r="B2561" s="6"/>
      <c r="C2561" s="7"/>
      <c r="D2561" s="5"/>
    </row>
    <row r="2562" spans="1:4" ht="15.75">
      <c r="A2562" s="8"/>
      <c r="B2562" s="51" t="s">
        <v>613</v>
      </c>
      <c r="C2562" s="99">
        <v>327.41</v>
      </c>
      <c r="D2562" s="5"/>
    </row>
    <row r="2563" spans="1:4" ht="15">
      <c r="A2563" s="8"/>
      <c r="B2563" s="53" t="s">
        <v>667</v>
      </c>
      <c r="C2563" s="54">
        <v>3.2</v>
      </c>
      <c r="D2563" s="13"/>
    </row>
    <row r="2564" spans="1:4" ht="15">
      <c r="A2564" s="8"/>
      <c r="B2564" s="55" t="s">
        <v>615</v>
      </c>
      <c r="C2564" s="56">
        <v>5.49</v>
      </c>
      <c r="D2564" s="13"/>
    </row>
    <row r="2565" spans="1:4" ht="18.75">
      <c r="A2565" s="8"/>
      <c r="B2565" s="15" t="s">
        <v>113</v>
      </c>
      <c r="C2565" s="57">
        <f>4728.48+8091.84+C2567</f>
        <v>22090.199999999997</v>
      </c>
      <c r="D2565" s="13"/>
    </row>
    <row r="2566" spans="1:4" ht="15">
      <c r="A2566" s="8"/>
      <c r="B2566" s="60" t="s">
        <v>114</v>
      </c>
      <c r="C2566" s="10">
        <v>12820.32</v>
      </c>
      <c r="D2566" s="13"/>
    </row>
    <row r="2567" spans="1:4" ht="15">
      <c r="A2567" s="8"/>
      <c r="B2567" s="62" t="s">
        <v>115</v>
      </c>
      <c r="C2567" s="10">
        <v>9269.88</v>
      </c>
      <c r="D2567" s="13"/>
    </row>
    <row r="2568" spans="1:4" ht="18">
      <c r="A2568" s="17">
        <v>1</v>
      </c>
      <c r="B2568" s="18" t="s">
        <v>668</v>
      </c>
      <c r="C2568" s="21">
        <f>12579.98+21569.88</f>
        <v>34149.86</v>
      </c>
      <c r="D2568" s="5"/>
    </row>
    <row r="2569" spans="1:4" ht="18">
      <c r="A2569" s="17">
        <v>2</v>
      </c>
      <c r="B2569" s="58" t="s">
        <v>669</v>
      </c>
      <c r="C2569" s="59">
        <f>(C2565+C2568)-C2570</f>
        <v>36847.149999999994</v>
      </c>
      <c r="D2569" s="5"/>
    </row>
    <row r="2570" spans="1:4" ht="18.75">
      <c r="A2570" s="17">
        <v>3</v>
      </c>
      <c r="B2570" s="15" t="s">
        <v>116</v>
      </c>
      <c r="C2570" s="16">
        <f>C2571+C2572</f>
        <v>19392.91</v>
      </c>
      <c r="D2570" s="5"/>
    </row>
    <row r="2571" spans="1:4" ht="15">
      <c r="A2571" s="17"/>
      <c r="B2571" s="60" t="s">
        <v>114</v>
      </c>
      <c r="C2571" s="20">
        <f>6005.41+10283.77</f>
        <v>16289.18</v>
      </c>
      <c r="D2571" s="5"/>
    </row>
    <row r="2572" spans="1:4" ht="15">
      <c r="A2572" s="61"/>
      <c r="B2572" s="62" t="s">
        <v>115</v>
      </c>
      <c r="C2572" s="63">
        <v>3103.73</v>
      </c>
      <c r="D2572" s="5"/>
    </row>
    <row r="2573" spans="1:4" ht="15">
      <c r="A2573" s="61"/>
      <c r="B2573" s="62"/>
      <c r="C2573" s="63"/>
      <c r="D2573" s="5"/>
    </row>
    <row r="2574" spans="1:4" ht="31.5">
      <c r="A2574" s="17">
        <v>4</v>
      </c>
      <c r="B2574" s="64" t="s">
        <v>625</v>
      </c>
      <c r="C2574" s="201">
        <f>C2575+C2576+C2577+C2578+C2579+C2580+C2581</f>
        <v>63227.47900000001</v>
      </c>
      <c r="D2574" s="5"/>
    </row>
    <row r="2575" spans="1:4" ht="26.25">
      <c r="A2575" s="30" t="s">
        <v>672</v>
      </c>
      <c r="B2575" s="202" t="s">
        <v>632</v>
      </c>
      <c r="C2575" s="66">
        <v>2112.88</v>
      </c>
      <c r="D2575" s="5"/>
    </row>
    <row r="2576" spans="1:4" ht="15.75">
      <c r="A2576" s="17" t="s">
        <v>673</v>
      </c>
      <c r="B2576" s="203" t="s">
        <v>699</v>
      </c>
      <c r="C2576" s="23">
        <v>23.08</v>
      </c>
      <c r="D2576" s="5"/>
    </row>
    <row r="2577" spans="1:4" ht="15.75">
      <c r="A2577" s="17" t="s">
        <v>676</v>
      </c>
      <c r="B2577" s="204" t="s">
        <v>9</v>
      </c>
      <c r="C2577" s="23">
        <v>1782.81</v>
      </c>
      <c r="D2577" s="5"/>
    </row>
    <row r="2578" spans="1:4" ht="15.75">
      <c r="A2578" s="17"/>
      <c r="B2578" s="205" t="s">
        <v>117</v>
      </c>
      <c r="C2578" s="23">
        <v>472.47</v>
      </c>
      <c r="D2578" s="5"/>
    </row>
    <row r="2579" spans="1:4" ht="15.75">
      <c r="A2579" s="17" t="s">
        <v>31</v>
      </c>
      <c r="B2579" s="206" t="s">
        <v>32</v>
      </c>
      <c r="C2579" s="69">
        <f>1.5*230*12</f>
        <v>4140</v>
      </c>
      <c r="D2579" s="5"/>
    </row>
    <row r="2580" spans="1:4" ht="15.75">
      <c r="A2580" s="8" t="s">
        <v>33</v>
      </c>
      <c r="B2580" s="82" t="s">
        <v>703</v>
      </c>
      <c r="C2580" s="207">
        <f>C2568*0.15</f>
        <v>5122.479</v>
      </c>
      <c r="D2580" s="5"/>
    </row>
    <row r="2581" spans="1:4" ht="15.75">
      <c r="A2581" s="8" t="s">
        <v>34</v>
      </c>
      <c r="B2581" s="79" t="s">
        <v>35</v>
      </c>
      <c r="C2581" s="23">
        <v>49573.76</v>
      </c>
      <c r="D2581" s="5"/>
    </row>
    <row r="2582" spans="1:3" ht="18">
      <c r="A2582" s="8"/>
      <c r="B2582" s="73" t="s">
        <v>683</v>
      </c>
      <c r="C2582" s="59">
        <v>32184.8</v>
      </c>
    </row>
    <row r="2583" spans="1:4" ht="18">
      <c r="A2583" s="8"/>
      <c r="B2583" s="73" t="s">
        <v>36</v>
      </c>
      <c r="C2583" s="59">
        <f>C2569-C2574</f>
        <v>-26380.329000000012</v>
      </c>
      <c r="D2583" s="75"/>
    </row>
    <row r="2584" spans="1:3" ht="18.75">
      <c r="A2584" s="8"/>
      <c r="B2584" s="76" t="s">
        <v>652</v>
      </c>
      <c r="C2584" s="74">
        <f>SUM(C2582:C2583)</f>
        <v>5804.470999999987</v>
      </c>
    </row>
    <row r="2585" ht="52.5" customHeight="1"/>
    <row r="2586" spans="2:4" ht="15">
      <c r="B2586" s="196" t="s">
        <v>609</v>
      </c>
      <c r="C2586" s="196"/>
      <c r="D2586" s="196"/>
    </row>
    <row r="2587" spans="2:4" ht="15">
      <c r="B2587" s="197" t="s">
        <v>610</v>
      </c>
      <c r="C2587" s="197"/>
      <c r="D2587" s="1"/>
    </row>
    <row r="2588" spans="2:4" ht="18.75">
      <c r="B2588" s="198" t="s">
        <v>118</v>
      </c>
      <c r="C2588" s="198"/>
      <c r="D2588" s="198"/>
    </row>
    <row r="2589" spans="2:4" ht="15.75">
      <c r="B2589" s="199" t="s">
        <v>612</v>
      </c>
      <c r="C2589" s="199"/>
      <c r="D2589" s="199"/>
    </row>
    <row r="2590" spans="2:4" ht="12.75">
      <c r="B2590" s="3"/>
      <c r="C2590" s="4"/>
      <c r="D2590" s="5"/>
    </row>
    <row r="2591" spans="2:4" ht="14.25">
      <c r="B2591" s="6"/>
      <c r="C2591" s="7"/>
      <c r="D2591" s="5"/>
    </row>
    <row r="2592" spans="1:4" ht="15.75">
      <c r="A2592" s="8"/>
      <c r="B2592" s="51" t="s">
        <v>613</v>
      </c>
      <c r="C2592" s="99">
        <v>328.5</v>
      </c>
      <c r="D2592" s="5"/>
    </row>
    <row r="2593" spans="1:4" ht="15">
      <c r="A2593" s="8"/>
      <c r="B2593" s="53" t="s">
        <v>667</v>
      </c>
      <c r="C2593" s="54">
        <v>3.2</v>
      </c>
      <c r="D2593" s="13"/>
    </row>
    <row r="2594" spans="1:4" ht="15">
      <c r="A2594" s="8"/>
      <c r="B2594" s="55" t="s">
        <v>615</v>
      </c>
      <c r="C2594" s="56">
        <v>5.49</v>
      </c>
      <c r="D2594" s="13"/>
    </row>
    <row r="2595" spans="1:4" ht="18.75">
      <c r="A2595" s="8"/>
      <c r="B2595" s="15" t="s">
        <v>616</v>
      </c>
      <c r="C2595" s="57">
        <f>1292.52+2297.27</f>
        <v>3589.79</v>
      </c>
      <c r="D2595" s="13"/>
    </row>
    <row r="2596" spans="1:4" ht="18">
      <c r="A2596" s="17">
        <v>1</v>
      </c>
      <c r="B2596" s="18" t="s">
        <v>668</v>
      </c>
      <c r="C2596" s="21">
        <f>12614.4+21641.76</f>
        <v>34256.159999999996</v>
      </c>
      <c r="D2596" s="5"/>
    </row>
    <row r="2597" spans="1:4" ht="18">
      <c r="A2597" s="17">
        <v>2</v>
      </c>
      <c r="B2597" s="58" t="s">
        <v>669</v>
      </c>
      <c r="C2597" s="59">
        <f>(C2595+C2596)-C2599</f>
        <v>32659.199999999997</v>
      </c>
      <c r="D2597" s="5"/>
    </row>
    <row r="2598" spans="1:4" ht="15">
      <c r="A2598" s="17">
        <v>3</v>
      </c>
      <c r="B2598" s="19" t="s">
        <v>670</v>
      </c>
      <c r="C2598" s="20"/>
      <c r="D2598" s="5"/>
    </row>
    <row r="2599" spans="1:4" ht="18.75">
      <c r="A2599" s="17"/>
      <c r="B2599" s="60" t="s">
        <v>671</v>
      </c>
      <c r="C2599" s="16">
        <f>1491.29+3695.46</f>
        <v>5186.75</v>
      </c>
      <c r="D2599" s="5"/>
    </row>
    <row r="2600" spans="1:4" ht="15">
      <c r="A2600" s="61"/>
      <c r="B2600" s="62"/>
      <c r="C2600" s="63"/>
      <c r="D2600" s="5"/>
    </row>
    <row r="2601" spans="1:4" ht="15">
      <c r="A2601" s="61"/>
      <c r="B2601" s="62"/>
      <c r="C2601" s="63"/>
      <c r="D2601" s="5"/>
    </row>
    <row r="2602" spans="1:4" ht="31.5">
      <c r="A2602" s="17">
        <v>4</v>
      </c>
      <c r="B2602" s="64" t="s">
        <v>625</v>
      </c>
      <c r="C2602" s="27">
        <f>C2603+C2604+C2605+C2606+C2607+C2608</f>
        <v>13546.243999999999</v>
      </c>
      <c r="D2602" s="5"/>
    </row>
    <row r="2603" spans="1:4" ht="26.25">
      <c r="A2603" s="30" t="s">
        <v>672</v>
      </c>
      <c r="B2603" s="31" t="s">
        <v>632</v>
      </c>
      <c r="C2603" s="66">
        <v>920.1</v>
      </c>
      <c r="D2603" s="5"/>
    </row>
    <row r="2604" spans="1:4" ht="15.75">
      <c r="A2604" s="17" t="s">
        <v>673</v>
      </c>
      <c r="B2604" s="79" t="s">
        <v>699</v>
      </c>
      <c r="C2604" s="23">
        <v>23.22</v>
      </c>
      <c r="D2604" s="5"/>
    </row>
    <row r="2605" spans="1:4" ht="15.75">
      <c r="A2605" s="17" t="s">
        <v>676</v>
      </c>
      <c r="B2605" s="83" t="s">
        <v>9</v>
      </c>
      <c r="C2605" s="23">
        <v>1280.61</v>
      </c>
      <c r="D2605" s="5"/>
    </row>
    <row r="2606" spans="1:4" ht="15.75">
      <c r="A2606" s="17" t="s">
        <v>31</v>
      </c>
      <c r="B2606" s="81" t="s">
        <v>734</v>
      </c>
      <c r="C2606" s="69">
        <f>2.1*230*12</f>
        <v>5796</v>
      </c>
      <c r="D2606" s="5"/>
    </row>
    <row r="2607" spans="1:4" ht="15.75">
      <c r="A2607" s="8" t="s">
        <v>33</v>
      </c>
      <c r="B2607" s="82" t="s">
        <v>703</v>
      </c>
      <c r="C2607" s="71">
        <f>C2596*0.15</f>
        <v>5138.423999999999</v>
      </c>
      <c r="D2607" s="5"/>
    </row>
    <row r="2608" spans="1:4" ht="15.75">
      <c r="A2608" s="8" t="s">
        <v>34</v>
      </c>
      <c r="B2608" s="79" t="s">
        <v>35</v>
      </c>
      <c r="C2608" s="23">
        <v>387.89</v>
      </c>
      <c r="D2608" s="5"/>
    </row>
    <row r="2609" spans="1:4" ht="12.75">
      <c r="A2609" s="8"/>
      <c r="B2609" s="173"/>
      <c r="C2609" s="117"/>
      <c r="D2609" s="5"/>
    </row>
    <row r="2610" spans="1:3" ht="18">
      <c r="A2610" s="8"/>
      <c r="B2610" s="73" t="s">
        <v>683</v>
      </c>
      <c r="C2610" s="74">
        <v>-3941.7</v>
      </c>
    </row>
    <row r="2611" spans="1:4" ht="18">
      <c r="A2611" s="8"/>
      <c r="B2611" s="73" t="s">
        <v>36</v>
      </c>
      <c r="C2611" s="59">
        <f>C2597-C2602</f>
        <v>19112.956</v>
      </c>
      <c r="D2611" s="75"/>
    </row>
    <row r="2612" spans="1:3" ht="18.75">
      <c r="A2612" s="8"/>
      <c r="B2612" s="76" t="s">
        <v>652</v>
      </c>
      <c r="C2612" s="74">
        <f>SUM(C2610:C2611)</f>
        <v>15171.255999999998</v>
      </c>
    </row>
    <row r="2613" ht="54" customHeight="1"/>
    <row r="2614" spans="2:4" ht="15">
      <c r="B2614" s="196" t="s">
        <v>609</v>
      </c>
      <c r="C2614" s="196"/>
      <c r="D2614" s="196"/>
    </row>
    <row r="2615" spans="2:4" ht="15">
      <c r="B2615" s="197" t="s">
        <v>610</v>
      </c>
      <c r="C2615" s="197"/>
      <c r="D2615" s="1"/>
    </row>
    <row r="2616" spans="2:4" ht="18.75">
      <c r="B2616" s="198" t="s">
        <v>119</v>
      </c>
      <c r="C2616" s="198"/>
      <c r="D2616" s="198"/>
    </row>
    <row r="2617" spans="2:4" ht="15.75">
      <c r="B2617" s="199" t="s">
        <v>612</v>
      </c>
      <c r="C2617" s="199"/>
      <c r="D2617" s="199"/>
    </row>
    <row r="2618" spans="2:4" ht="12.75">
      <c r="B2618" s="3"/>
      <c r="C2618" s="4"/>
      <c r="D2618" s="5"/>
    </row>
    <row r="2619" spans="2:4" ht="14.25">
      <c r="B2619" s="6"/>
      <c r="C2619" s="7"/>
      <c r="D2619" s="5"/>
    </row>
    <row r="2620" spans="1:4" ht="15.75">
      <c r="A2620" s="8"/>
      <c r="B2620" s="51" t="s">
        <v>613</v>
      </c>
      <c r="C2620" s="99">
        <v>323.72</v>
      </c>
      <c r="D2620" s="5"/>
    </row>
    <row r="2621" spans="1:4" ht="15">
      <c r="A2621" s="8"/>
      <c r="B2621" s="53" t="s">
        <v>667</v>
      </c>
      <c r="C2621" s="54">
        <v>3.2</v>
      </c>
      <c r="D2621" s="13"/>
    </row>
    <row r="2622" spans="1:4" ht="15">
      <c r="A2622" s="8"/>
      <c r="B2622" s="55" t="s">
        <v>615</v>
      </c>
      <c r="C2622" s="56">
        <v>5.49</v>
      </c>
      <c r="D2622" s="13"/>
    </row>
    <row r="2623" spans="1:4" ht="18.75">
      <c r="A2623" s="8"/>
      <c r="B2623" s="15" t="s">
        <v>616</v>
      </c>
      <c r="C2623" s="57">
        <f>5051.7+8647.24</f>
        <v>13698.939999999999</v>
      </c>
      <c r="D2623" s="13"/>
    </row>
    <row r="2624" spans="1:4" ht="18">
      <c r="A2624" s="17">
        <v>1</v>
      </c>
      <c r="B2624" s="18" t="s">
        <v>668</v>
      </c>
      <c r="C2624" s="21">
        <f>12442.15+21346.26</f>
        <v>33788.409999999996</v>
      </c>
      <c r="D2624" s="5"/>
    </row>
    <row r="2625" spans="1:4" ht="18">
      <c r="A2625" s="17">
        <v>2</v>
      </c>
      <c r="B2625" s="58" t="s">
        <v>669</v>
      </c>
      <c r="C2625" s="59">
        <f>(C2623+C2624)-C2627</f>
        <v>30572.76999999999</v>
      </c>
      <c r="D2625" s="5"/>
    </row>
    <row r="2626" spans="1:4" ht="15">
      <c r="A2626" s="17">
        <v>3</v>
      </c>
      <c r="B2626" s="19" t="s">
        <v>670</v>
      </c>
      <c r="C2626" s="20"/>
      <c r="D2626" s="5"/>
    </row>
    <row r="2627" spans="1:4" ht="18.75">
      <c r="A2627" s="17"/>
      <c r="B2627" s="60" t="s">
        <v>671</v>
      </c>
      <c r="C2627" s="16">
        <f>6234.38+10680.2</f>
        <v>16914.58</v>
      </c>
      <c r="D2627" s="5"/>
    </row>
    <row r="2628" spans="1:4" ht="15">
      <c r="A2628" s="61"/>
      <c r="B2628" s="62"/>
      <c r="C2628" s="63"/>
      <c r="D2628" s="5"/>
    </row>
    <row r="2629" spans="1:4" ht="15">
      <c r="A2629" s="61"/>
      <c r="B2629" s="62"/>
      <c r="C2629" s="63"/>
      <c r="D2629" s="5"/>
    </row>
    <row r="2630" spans="1:4" ht="31.5">
      <c r="A2630" s="17">
        <v>4</v>
      </c>
      <c r="B2630" s="64" t="s">
        <v>625</v>
      </c>
      <c r="C2630" s="27">
        <f>C2631+C2632+C2633+C2634+C2635+C2636</f>
        <v>15884.1715</v>
      </c>
      <c r="D2630" s="5"/>
    </row>
    <row r="2631" spans="1:4" ht="26.25">
      <c r="A2631" s="30" t="s">
        <v>672</v>
      </c>
      <c r="B2631" s="31" t="s">
        <v>632</v>
      </c>
      <c r="C2631" s="66">
        <v>1516.44</v>
      </c>
      <c r="D2631" s="5"/>
    </row>
    <row r="2632" spans="1:4" ht="15.75">
      <c r="A2632" s="17" t="s">
        <v>673</v>
      </c>
      <c r="B2632" s="79" t="s">
        <v>699</v>
      </c>
      <c r="C2632" s="23">
        <v>23.22</v>
      </c>
      <c r="D2632" s="5"/>
    </row>
    <row r="2633" spans="1:4" ht="15.75">
      <c r="A2633" s="17" t="s">
        <v>676</v>
      </c>
      <c r="B2633" s="83" t="s">
        <v>9</v>
      </c>
      <c r="C2633" s="23">
        <v>92.07</v>
      </c>
      <c r="D2633" s="5"/>
    </row>
    <row r="2634" spans="1:4" ht="15.75">
      <c r="A2634" s="17" t="s">
        <v>31</v>
      </c>
      <c r="B2634" s="81" t="s">
        <v>68</v>
      </c>
      <c r="C2634" s="69">
        <f>1.8*230*12</f>
        <v>4968</v>
      </c>
      <c r="D2634" s="5"/>
    </row>
    <row r="2635" spans="1:4" ht="15.75">
      <c r="A2635" s="8" t="s">
        <v>33</v>
      </c>
      <c r="B2635" s="82" t="s">
        <v>703</v>
      </c>
      <c r="C2635" s="71">
        <f>C2624*0.15</f>
        <v>5068.2615</v>
      </c>
      <c r="D2635" s="5"/>
    </row>
    <row r="2636" spans="1:4" ht="15.75">
      <c r="A2636" s="8" t="s">
        <v>34</v>
      </c>
      <c r="B2636" s="79" t="s">
        <v>35</v>
      </c>
      <c r="C2636" s="23">
        <v>4216.18</v>
      </c>
      <c r="D2636" s="5"/>
    </row>
    <row r="2637" spans="1:4" ht="12.75">
      <c r="A2637" s="8"/>
      <c r="B2637" s="139"/>
      <c r="C2637" s="208"/>
      <c r="D2637" s="5"/>
    </row>
    <row r="2638" spans="1:3" ht="18">
      <c r="A2638" s="8"/>
      <c r="B2638" s="73" t="s">
        <v>683</v>
      </c>
      <c r="C2638" s="74">
        <v>11681.92</v>
      </c>
    </row>
    <row r="2639" spans="1:4" ht="18">
      <c r="A2639" s="8"/>
      <c r="B2639" s="73" t="s">
        <v>36</v>
      </c>
      <c r="C2639" s="59">
        <f>C2625-C2630</f>
        <v>14688.59849999999</v>
      </c>
      <c r="D2639" s="75"/>
    </row>
    <row r="2640" spans="1:3" ht="18.75">
      <c r="A2640" s="8"/>
      <c r="B2640" s="76" t="s">
        <v>652</v>
      </c>
      <c r="C2640" s="74">
        <f>SUM(C2638:C2639)</f>
        <v>26370.51849999999</v>
      </c>
    </row>
    <row r="2641" ht="52.5" customHeight="1"/>
    <row r="2642" spans="2:4" ht="15">
      <c r="B2642" s="196" t="s">
        <v>609</v>
      </c>
      <c r="C2642" s="196"/>
      <c r="D2642" s="196"/>
    </row>
    <row r="2643" spans="2:4" ht="15">
      <c r="B2643" s="197" t="s">
        <v>704</v>
      </c>
      <c r="C2643" s="197"/>
      <c r="D2643" s="1"/>
    </row>
    <row r="2644" spans="2:4" ht="18.75">
      <c r="B2644" s="198" t="s">
        <v>120</v>
      </c>
      <c r="C2644" s="198"/>
      <c r="D2644" s="198"/>
    </row>
    <row r="2645" spans="2:4" ht="15.75">
      <c r="B2645" s="199" t="s">
        <v>612</v>
      </c>
      <c r="C2645" s="199"/>
      <c r="D2645" s="199"/>
    </row>
    <row r="2646" spans="2:4" ht="14.25">
      <c r="B2646" s="6"/>
      <c r="C2646" s="209"/>
      <c r="D2646" s="5"/>
    </row>
    <row r="2647" spans="1:4" ht="15">
      <c r="A2647" s="8"/>
      <c r="B2647" s="9" t="s">
        <v>613</v>
      </c>
      <c r="C2647" s="10">
        <v>1100.5</v>
      </c>
      <c r="D2647" s="5"/>
    </row>
    <row r="2648" spans="1:4" ht="12.75">
      <c r="A2648" s="8"/>
      <c r="B2648" s="11" t="s">
        <v>614</v>
      </c>
      <c r="C2648" s="12">
        <v>5.33</v>
      </c>
      <c r="D2648" s="13"/>
    </row>
    <row r="2649" spans="1:4" ht="12.75">
      <c r="A2649" s="8"/>
      <c r="B2649" s="14" t="s">
        <v>615</v>
      </c>
      <c r="C2649" s="12">
        <v>9.16</v>
      </c>
      <c r="D2649" s="13"/>
    </row>
    <row r="2650" spans="1:4" ht="18.75">
      <c r="A2650" s="8"/>
      <c r="B2650" s="15" t="s">
        <v>616</v>
      </c>
      <c r="C2650" s="16">
        <f>19561.91+21006.54+40754.48+33589.22</f>
        <v>114912.15</v>
      </c>
      <c r="D2650" s="13"/>
    </row>
    <row r="2651" spans="1:4" ht="18.75">
      <c r="A2651" s="17">
        <v>1</v>
      </c>
      <c r="B2651" s="18" t="s">
        <v>617</v>
      </c>
      <c r="C2651" s="16">
        <f>C2652+C2653</f>
        <v>268649.47</v>
      </c>
      <c r="D2651" s="5"/>
    </row>
    <row r="2652" spans="1:4" ht="15">
      <c r="A2652" s="17" t="s">
        <v>706</v>
      </c>
      <c r="B2652" s="19" t="s">
        <v>413</v>
      </c>
      <c r="C2652" s="20">
        <f>70388.16+120966.84</f>
        <v>191355</v>
      </c>
      <c r="D2652" s="5"/>
    </row>
    <row r="2653" spans="1:4" ht="15">
      <c r="A2653" s="17" t="s">
        <v>708</v>
      </c>
      <c r="B2653" s="19" t="s">
        <v>709</v>
      </c>
      <c r="C2653" s="20">
        <f>27479.67+49814.8</f>
        <v>77294.47</v>
      </c>
      <c r="D2653" s="5"/>
    </row>
    <row r="2654" spans="1:4" ht="18">
      <c r="A2654" s="17">
        <v>2</v>
      </c>
      <c r="B2654" s="18" t="s">
        <v>620</v>
      </c>
      <c r="C2654" s="21">
        <f>C2655+C2656</f>
        <v>295641.64</v>
      </c>
      <c r="D2654" s="13"/>
    </row>
    <row r="2655" spans="1:4" ht="15.75">
      <c r="A2655" s="17" t="s">
        <v>621</v>
      </c>
      <c r="B2655" s="157" t="s">
        <v>121</v>
      </c>
      <c r="C2655" s="23">
        <f>76091.31+130751.14</f>
        <v>206842.45</v>
      </c>
      <c r="D2655" s="13"/>
    </row>
    <row r="2656" spans="1:4" ht="15.75">
      <c r="A2656" s="17" t="s">
        <v>623</v>
      </c>
      <c r="B2656" s="157" t="s">
        <v>416</v>
      </c>
      <c r="C2656" s="23">
        <f>31244.06+57555.13</f>
        <v>88799.19</v>
      </c>
      <c r="D2656" s="5"/>
    </row>
    <row r="2657" spans="1:4" ht="36">
      <c r="A2657" s="17">
        <v>5</v>
      </c>
      <c r="B2657" s="24" t="s">
        <v>625</v>
      </c>
      <c r="C2657" s="27">
        <f>C2658+C2660</f>
        <v>485185.47</v>
      </c>
      <c r="D2657" s="13"/>
    </row>
    <row r="2658" spans="1:4" ht="18.75">
      <c r="A2658" s="86" t="s">
        <v>627</v>
      </c>
      <c r="B2658" s="87" t="s">
        <v>626</v>
      </c>
      <c r="C2658" s="27">
        <f>C2659</f>
        <v>100785.44</v>
      </c>
      <c r="D2658" s="13"/>
    </row>
    <row r="2659" spans="1:4" ht="15.75">
      <c r="A2659" s="17"/>
      <c r="B2659" s="87" t="s">
        <v>713</v>
      </c>
      <c r="C2659" s="88">
        <f>1712*58.87</f>
        <v>100785.44</v>
      </c>
      <c r="D2659" s="13"/>
    </row>
    <row r="2660" spans="1:4" ht="18.75">
      <c r="A2660" s="17" t="s">
        <v>629</v>
      </c>
      <c r="B2660" s="87" t="s">
        <v>630</v>
      </c>
      <c r="C2660" s="27">
        <f>C2661+C2662+C2663+C2664+C2665+C2666+C2667+C2668</f>
        <v>384400.02999999997</v>
      </c>
      <c r="D2660" s="13"/>
    </row>
    <row r="2661" spans="1:4" ht="25.5">
      <c r="A2661" s="30" t="s">
        <v>631</v>
      </c>
      <c r="B2661" s="31" t="s">
        <v>632</v>
      </c>
      <c r="C2661" s="32">
        <v>70499.79</v>
      </c>
      <c r="D2661" s="5"/>
    </row>
    <row r="2662" spans="1:4" ht="12.75">
      <c r="A2662" s="17" t="s">
        <v>633</v>
      </c>
      <c r="B2662" s="33" t="s">
        <v>634</v>
      </c>
      <c r="C2662" s="34">
        <v>109.88</v>
      </c>
      <c r="D2662" s="5"/>
    </row>
    <row r="2663" spans="1:4" ht="12.75">
      <c r="A2663" s="17" t="s">
        <v>635</v>
      </c>
      <c r="B2663" s="35" t="s">
        <v>746</v>
      </c>
      <c r="C2663" s="34">
        <v>32926.38</v>
      </c>
      <c r="D2663" s="5"/>
    </row>
    <row r="2664" spans="1:4" ht="12.75">
      <c r="A2664" s="30" t="s">
        <v>639</v>
      </c>
      <c r="B2664" s="33" t="s">
        <v>122</v>
      </c>
      <c r="C2664" s="34">
        <f>4.7*230*12</f>
        <v>12972</v>
      </c>
      <c r="D2664" s="5"/>
    </row>
    <row r="2665" spans="1:4" ht="12.75">
      <c r="A2665" s="191" t="s">
        <v>641</v>
      </c>
      <c r="B2665" s="37" t="s">
        <v>123</v>
      </c>
      <c r="C2665" s="34">
        <v>146.54</v>
      </c>
      <c r="D2665" s="5"/>
    </row>
    <row r="2666" spans="1:4" ht="24">
      <c r="A2666" s="30" t="s">
        <v>643</v>
      </c>
      <c r="B2666" s="37" t="s">
        <v>124</v>
      </c>
      <c r="C2666" s="34">
        <v>411.01</v>
      </c>
      <c r="D2666" s="5"/>
    </row>
    <row r="2667" spans="1:4" ht="12.75">
      <c r="A2667" s="30" t="s">
        <v>647</v>
      </c>
      <c r="B2667" s="33" t="s">
        <v>646</v>
      </c>
      <c r="C2667" s="34">
        <f>C2652*0.15</f>
        <v>28703.25</v>
      </c>
      <c r="D2667" s="5"/>
    </row>
    <row r="2668" spans="1:4" ht="12.75">
      <c r="A2668" s="17" t="s">
        <v>717</v>
      </c>
      <c r="B2668" s="33" t="s">
        <v>648</v>
      </c>
      <c r="C2668" s="192">
        <f>C2670+C2671+C2672+C2673+C2674</f>
        <v>238631.18</v>
      </c>
      <c r="D2668" s="13"/>
    </row>
    <row r="2669" spans="1:4" ht="12.75">
      <c r="A2669" s="17"/>
      <c r="B2669" s="39" t="s">
        <v>649</v>
      </c>
      <c r="C2669" s="34"/>
      <c r="D2669" s="13"/>
    </row>
    <row r="2670" spans="1:4" ht="12.75">
      <c r="A2670" s="8"/>
      <c r="B2670" s="37" t="s">
        <v>125</v>
      </c>
      <c r="C2670" s="41">
        <v>3004.33</v>
      </c>
      <c r="D2670" s="5"/>
    </row>
    <row r="2671" spans="1:4" ht="12.75">
      <c r="A2671" s="8"/>
      <c r="B2671" s="36" t="s">
        <v>126</v>
      </c>
      <c r="C2671" s="41">
        <v>2700.94</v>
      </c>
      <c r="D2671" s="5"/>
    </row>
    <row r="2672" spans="1:4" ht="36">
      <c r="A2672" s="8"/>
      <c r="B2672" s="37" t="s">
        <v>127</v>
      </c>
      <c r="C2672" s="41">
        <v>3670.13</v>
      </c>
      <c r="D2672" s="5"/>
    </row>
    <row r="2673" spans="1:4" ht="36">
      <c r="A2673" s="8"/>
      <c r="B2673" s="37" t="s">
        <v>128</v>
      </c>
      <c r="C2673" s="78">
        <f>228029.32+368.72</f>
        <v>228398.04</v>
      </c>
      <c r="D2673" s="5"/>
    </row>
    <row r="2674" spans="1:4" ht="12.75">
      <c r="A2674" s="8"/>
      <c r="B2674" s="37" t="s">
        <v>129</v>
      </c>
      <c r="C2674" s="41">
        <v>857.74</v>
      </c>
      <c r="D2674" s="5"/>
    </row>
    <row r="2675" spans="1:4" ht="12.75">
      <c r="A2675" s="8"/>
      <c r="B2675" s="37"/>
      <c r="C2675" s="41"/>
      <c r="D2675" s="5"/>
    </row>
    <row r="2676" spans="1:4" ht="30">
      <c r="A2676" s="8"/>
      <c r="B2676" s="45" t="s">
        <v>607</v>
      </c>
      <c r="C2676" s="46">
        <f>C2654-C2657</f>
        <v>-189543.82999999996</v>
      </c>
      <c r="D2676" s="5"/>
    </row>
    <row r="2677" spans="1:4" ht="15.75">
      <c r="A2677" s="8"/>
      <c r="B2677" s="45" t="s">
        <v>479</v>
      </c>
      <c r="C2677" s="46">
        <v>12336.49</v>
      </c>
      <c r="D2677" s="5"/>
    </row>
    <row r="2678" spans="1:4" ht="15.75">
      <c r="A2678" s="8"/>
      <c r="B2678" s="45" t="s">
        <v>652</v>
      </c>
      <c r="C2678" s="46">
        <f>C2676+C2677</f>
        <v>-177207.33999999997</v>
      </c>
      <c r="D2678" s="5"/>
    </row>
    <row r="2679" spans="1:4" ht="15.75">
      <c r="A2679" s="8"/>
      <c r="B2679" s="45"/>
      <c r="C2679" s="46"/>
      <c r="D2679" s="5"/>
    </row>
    <row r="2680" spans="1:4" ht="15.75">
      <c r="A2680" s="8"/>
      <c r="B2680" s="45" t="s">
        <v>653</v>
      </c>
      <c r="C2680" s="46">
        <f>C2654-(C2650+C2651)</f>
        <v>-87919.97999999998</v>
      </c>
      <c r="D2680" s="13"/>
    </row>
    <row r="2681" spans="1:4" ht="15.75">
      <c r="A2681" s="8"/>
      <c r="B2681" s="45" t="s">
        <v>654</v>
      </c>
      <c r="C2681" s="46">
        <v>-37663.68</v>
      </c>
      <c r="D2681" s="5"/>
    </row>
    <row r="2682" spans="1:4" ht="15.75">
      <c r="A2682" s="8"/>
      <c r="B2682" s="45" t="s">
        <v>726</v>
      </c>
      <c r="C2682" s="46">
        <v>-50256.3</v>
      </c>
      <c r="D2682" s="5"/>
    </row>
    <row r="2684" ht="12.75">
      <c r="B2684" t="s">
        <v>755</v>
      </c>
    </row>
    <row r="2685" ht="12.75">
      <c r="B2685" t="s">
        <v>63</v>
      </c>
    </row>
    <row r="2686" spans="2:3" ht="12.75">
      <c r="B2686" t="s">
        <v>130</v>
      </c>
      <c r="C2686" s="113">
        <f>1712*58.87</f>
        <v>100785.44</v>
      </c>
    </row>
    <row r="2687" spans="2:3" ht="12.75">
      <c r="B2687" t="s">
        <v>131</v>
      </c>
      <c r="C2687" s="113">
        <f>1658*58.87</f>
        <v>97606.45999999999</v>
      </c>
    </row>
    <row r="2688" spans="2:3" ht="15">
      <c r="B2688" s="114" t="s">
        <v>132</v>
      </c>
      <c r="C2688" s="115">
        <f>C2686-C2687</f>
        <v>3178.9800000000105</v>
      </c>
    </row>
    <row r="2689" ht="54" customHeight="1"/>
    <row r="2690" spans="2:4" ht="15">
      <c r="B2690" s="196" t="s">
        <v>609</v>
      </c>
      <c r="C2690" s="196"/>
      <c r="D2690" s="196"/>
    </row>
    <row r="2691" spans="2:4" ht="15">
      <c r="B2691" s="197" t="s">
        <v>704</v>
      </c>
      <c r="C2691" s="197"/>
      <c r="D2691" s="1"/>
    </row>
    <row r="2692" spans="2:4" ht="18.75">
      <c r="B2692" s="198" t="s">
        <v>133</v>
      </c>
      <c r="C2692" s="198"/>
      <c r="D2692" s="198"/>
    </row>
    <row r="2693" spans="2:4" ht="15.75">
      <c r="B2693" s="199" t="s">
        <v>612</v>
      </c>
      <c r="C2693" s="199"/>
      <c r="D2693" s="199"/>
    </row>
    <row r="2694" spans="2:4" ht="14.25">
      <c r="B2694" s="6"/>
      <c r="C2694" s="209"/>
      <c r="D2694" s="5"/>
    </row>
    <row r="2695" spans="1:4" ht="15">
      <c r="A2695" s="8"/>
      <c r="B2695" s="9" t="s">
        <v>613</v>
      </c>
      <c r="C2695" s="10">
        <v>1206.6</v>
      </c>
      <c r="D2695" s="5"/>
    </row>
    <row r="2696" spans="1:4" ht="12.75">
      <c r="A2696" s="8"/>
      <c r="B2696" s="11" t="s">
        <v>614</v>
      </c>
      <c r="C2696" s="12">
        <v>5.33</v>
      </c>
      <c r="D2696" s="13"/>
    </row>
    <row r="2697" spans="1:4" ht="12.75">
      <c r="A2697" s="8"/>
      <c r="B2697" s="14" t="s">
        <v>615</v>
      </c>
      <c r="C2697" s="12">
        <v>9.16</v>
      </c>
      <c r="D2697" s="13"/>
    </row>
    <row r="2698" spans="1:4" ht="18.75">
      <c r="A2698" s="8"/>
      <c r="B2698" s="15" t="s">
        <v>616</v>
      </c>
      <c r="C2698" s="16">
        <f>14264.45+4709.35+9007.4+24496.08</f>
        <v>52477.280000000006</v>
      </c>
      <c r="D2698" s="13"/>
    </row>
    <row r="2699" spans="1:4" ht="18.75">
      <c r="A2699" s="17">
        <v>1</v>
      </c>
      <c r="B2699" s="18" t="s">
        <v>617</v>
      </c>
      <c r="C2699" s="16">
        <f>C2700+C2701</f>
        <v>342326.53</v>
      </c>
      <c r="D2699" s="5"/>
    </row>
    <row r="2700" spans="1:4" ht="15">
      <c r="A2700" s="17" t="s">
        <v>706</v>
      </c>
      <c r="B2700" s="19" t="s">
        <v>413</v>
      </c>
      <c r="C2700" s="20">
        <f>77148.17+132584.76</f>
        <v>209732.93</v>
      </c>
      <c r="D2700" s="5"/>
    </row>
    <row r="2701" spans="1:4" ht="15">
      <c r="A2701" s="17" t="s">
        <v>708</v>
      </c>
      <c r="B2701" s="19" t="s">
        <v>709</v>
      </c>
      <c r="C2701" s="20">
        <f>46845.65+85747.95</f>
        <v>132593.6</v>
      </c>
      <c r="D2701" s="5"/>
    </row>
    <row r="2702" spans="1:4" ht="18">
      <c r="A2702" s="17">
        <v>2</v>
      </c>
      <c r="B2702" s="18" t="s">
        <v>620</v>
      </c>
      <c r="C2702" s="21">
        <f>C2703+C2704</f>
        <v>342930.77</v>
      </c>
      <c r="D2702" s="13"/>
    </row>
    <row r="2703" spans="1:4" ht="15.75">
      <c r="A2703" s="17" t="s">
        <v>621</v>
      </c>
      <c r="B2703" s="157" t="s">
        <v>415</v>
      </c>
      <c r="C2703" s="23">
        <f>77956.28+133963.92</f>
        <v>211920.2</v>
      </c>
      <c r="D2703" s="13"/>
    </row>
    <row r="2704" spans="1:4" ht="15.75">
      <c r="A2704" s="17" t="s">
        <v>623</v>
      </c>
      <c r="B2704" s="157" t="s">
        <v>416</v>
      </c>
      <c r="C2704" s="23">
        <f>46186.15+84824.42</f>
        <v>131010.57</v>
      </c>
      <c r="D2704" s="5"/>
    </row>
    <row r="2705" spans="1:4" ht="36">
      <c r="A2705" s="17">
        <v>5</v>
      </c>
      <c r="B2705" s="24" t="s">
        <v>625</v>
      </c>
      <c r="C2705" s="27">
        <f>C2706+C2708</f>
        <v>258780.2095</v>
      </c>
      <c r="D2705" s="13"/>
    </row>
    <row r="2706" spans="1:4" ht="18.75">
      <c r="A2706" s="86" t="s">
        <v>627</v>
      </c>
      <c r="B2706" s="87" t="s">
        <v>626</v>
      </c>
      <c r="C2706" s="27">
        <f>C2707</f>
        <v>97370.98</v>
      </c>
      <c r="D2706" s="13"/>
    </row>
    <row r="2707" spans="1:4" ht="15.75">
      <c r="A2707" s="17"/>
      <c r="B2707" s="87" t="s">
        <v>713</v>
      </c>
      <c r="C2707" s="88">
        <f>1654*58.87</f>
        <v>97370.98</v>
      </c>
      <c r="D2707" s="13"/>
    </row>
    <row r="2708" spans="1:4" ht="18.75">
      <c r="A2708" s="17" t="s">
        <v>629</v>
      </c>
      <c r="B2708" s="87" t="s">
        <v>630</v>
      </c>
      <c r="C2708" s="27">
        <f>C2709+C2710+C2711+C2712+C2713+C2715+C2716</f>
        <v>161409.22950000002</v>
      </c>
      <c r="D2708" s="13"/>
    </row>
    <row r="2709" spans="1:4" ht="25.5">
      <c r="A2709" s="30" t="s">
        <v>631</v>
      </c>
      <c r="B2709" s="31" t="s">
        <v>632</v>
      </c>
      <c r="C2709" s="32">
        <v>48193.88</v>
      </c>
      <c r="D2709" s="5"/>
    </row>
    <row r="2710" spans="1:4" ht="12.75">
      <c r="A2710" s="17" t="s">
        <v>633</v>
      </c>
      <c r="B2710" s="33" t="s">
        <v>634</v>
      </c>
      <c r="C2710" s="34">
        <v>132.25</v>
      </c>
      <c r="D2710" s="5"/>
    </row>
    <row r="2711" spans="1:4" ht="12.75">
      <c r="A2711" s="17" t="s">
        <v>635</v>
      </c>
      <c r="B2711" s="35" t="s">
        <v>746</v>
      </c>
      <c r="C2711" s="34">
        <v>37018.13</v>
      </c>
      <c r="D2711" s="5"/>
    </row>
    <row r="2712" spans="1:4" ht="12.75">
      <c r="A2712" s="30" t="s">
        <v>639</v>
      </c>
      <c r="B2712" s="33" t="s">
        <v>134</v>
      </c>
      <c r="C2712" s="34">
        <f>5.7*230*12</f>
        <v>15732</v>
      </c>
      <c r="D2712" s="5"/>
    </row>
    <row r="2713" spans="1:4" ht="12.75">
      <c r="A2713" s="191" t="s">
        <v>641</v>
      </c>
      <c r="B2713" s="160" t="s">
        <v>640</v>
      </c>
      <c r="C2713" s="34">
        <v>5197.77</v>
      </c>
      <c r="D2713" s="5"/>
    </row>
    <row r="2714" spans="1:4" ht="12.75">
      <c r="A2714" s="191"/>
      <c r="B2714" s="40" t="s">
        <v>135</v>
      </c>
      <c r="C2714" s="210">
        <v>2150</v>
      </c>
      <c r="D2714" s="5"/>
    </row>
    <row r="2715" spans="1:4" ht="12.75">
      <c r="A2715" s="30" t="s">
        <v>647</v>
      </c>
      <c r="B2715" s="33" t="s">
        <v>646</v>
      </c>
      <c r="C2715" s="34">
        <f>C2700*0.15</f>
        <v>31459.939499999997</v>
      </c>
      <c r="D2715" s="5"/>
    </row>
    <row r="2716" spans="1:4" ht="12.75">
      <c r="A2716" s="17" t="s">
        <v>717</v>
      </c>
      <c r="B2716" s="33" t="s">
        <v>648</v>
      </c>
      <c r="C2716" s="192">
        <v>23675.26</v>
      </c>
      <c r="D2716" s="13"/>
    </row>
    <row r="2717" spans="1:4" ht="12.75">
      <c r="A2717" s="8"/>
      <c r="B2717" s="40"/>
      <c r="C2717" s="96"/>
      <c r="D2717" s="5"/>
    </row>
    <row r="2718" spans="1:4" ht="30">
      <c r="A2718" s="8"/>
      <c r="B2718" s="45" t="s">
        <v>607</v>
      </c>
      <c r="C2718" s="46">
        <f>C2702-C2705</f>
        <v>84150.56050000002</v>
      </c>
      <c r="D2718" s="5"/>
    </row>
    <row r="2719" spans="1:4" ht="15.75">
      <c r="A2719" s="8"/>
      <c r="B2719" s="45" t="s">
        <v>479</v>
      </c>
      <c r="C2719" s="46">
        <v>-49883.82</v>
      </c>
      <c r="D2719" s="5"/>
    </row>
    <row r="2720" spans="1:4" ht="15.75">
      <c r="A2720" s="8"/>
      <c r="B2720" s="98" t="s">
        <v>136</v>
      </c>
      <c r="C2720" s="23">
        <v>4556.71</v>
      </c>
      <c r="D2720" s="5"/>
    </row>
    <row r="2721" spans="1:4" ht="15.75">
      <c r="A2721" s="8"/>
      <c r="B2721" s="45" t="s">
        <v>652</v>
      </c>
      <c r="C2721" s="46">
        <f>C2718+C2719+C2720</f>
        <v>38823.45050000002</v>
      </c>
      <c r="D2721" s="5"/>
    </row>
    <row r="2722" spans="1:4" ht="15.75">
      <c r="A2722" s="8"/>
      <c r="B2722" s="45"/>
      <c r="C2722" s="46"/>
      <c r="D2722" s="5"/>
    </row>
    <row r="2723" spans="1:4" ht="15.75">
      <c r="A2723" s="8"/>
      <c r="B2723" s="45" t="s">
        <v>653</v>
      </c>
      <c r="C2723" s="46">
        <f>C2702-(C2698+C2699)</f>
        <v>-51873.04000000004</v>
      </c>
      <c r="D2723" s="13"/>
    </row>
    <row r="2724" spans="1:4" ht="15.75">
      <c r="A2724" s="8"/>
      <c r="B2724" s="45" t="s">
        <v>654</v>
      </c>
      <c r="C2724" s="46">
        <v>-36573.21</v>
      </c>
      <c r="D2724" s="5"/>
    </row>
    <row r="2725" spans="1:4" ht="15.75">
      <c r="A2725" s="8"/>
      <c r="B2725" s="45" t="s">
        <v>726</v>
      </c>
      <c r="C2725" s="46">
        <v>-15299.83</v>
      </c>
      <c r="D2725" s="5"/>
    </row>
    <row r="2726" spans="1:3" ht="15.75">
      <c r="A2726" s="8"/>
      <c r="B2726" s="83" t="s">
        <v>137</v>
      </c>
      <c r="C2726" s="23">
        <f>1880.73+2101.48</f>
        <v>3982.21</v>
      </c>
    </row>
    <row r="2727" ht="54" customHeight="1"/>
    <row r="2728" spans="2:4" ht="15">
      <c r="B2728" s="196" t="s">
        <v>609</v>
      </c>
      <c r="C2728" s="196"/>
      <c r="D2728" s="196"/>
    </row>
    <row r="2729" spans="2:4" ht="15">
      <c r="B2729" s="197" t="s">
        <v>704</v>
      </c>
      <c r="C2729" s="197"/>
      <c r="D2729" s="1"/>
    </row>
    <row r="2730" spans="2:4" ht="18.75">
      <c r="B2730" s="198" t="s">
        <v>138</v>
      </c>
      <c r="C2730" s="198"/>
      <c r="D2730" s="198"/>
    </row>
    <row r="2731" spans="2:4" ht="15.75">
      <c r="B2731" s="199" t="s">
        <v>612</v>
      </c>
      <c r="C2731" s="199"/>
      <c r="D2731" s="199"/>
    </row>
    <row r="2732" spans="2:4" ht="14.25">
      <c r="B2732" s="6"/>
      <c r="C2732" s="7"/>
      <c r="D2732" s="5"/>
    </row>
    <row r="2733" spans="1:4" ht="15">
      <c r="A2733" s="8"/>
      <c r="B2733" s="9" t="s">
        <v>613</v>
      </c>
      <c r="C2733" s="10">
        <v>1302.8</v>
      </c>
      <c r="D2733" s="5"/>
    </row>
    <row r="2734" spans="1:4" ht="12.75">
      <c r="A2734" s="8"/>
      <c r="B2734" s="94" t="s">
        <v>59</v>
      </c>
      <c r="C2734" s="12">
        <v>5.33</v>
      </c>
      <c r="D2734" s="13"/>
    </row>
    <row r="2735" spans="1:4" ht="12.75">
      <c r="A2735" s="8"/>
      <c r="B2735" s="139" t="s">
        <v>60</v>
      </c>
      <c r="C2735" s="12">
        <v>9.16</v>
      </c>
      <c r="D2735" s="13"/>
    </row>
    <row r="2736" spans="1:4" ht="36.75">
      <c r="A2736" s="8"/>
      <c r="B2736" s="140" t="s">
        <v>16</v>
      </c>
      <c r="C2736" s="16">
        <v>56512.78</v>
      </c>
      <c r="D2736" s="13"/>
    </row>
    <row r="2737" spans="1:4" ht="18.75">
      <c r="A2737" s="17">
        <v>1</v>
      </c>
      <c r="B2737" s="18" t="s">
        <v>617</v>
      </c>
      <c r="C2737" s="16">
        <f>C2738+C2739</f>
        <v>341967.51</v>
      </c>
      <c r="D2737" s="5"/>
    </row>
    <row r="2738" spans="1:4" ht="15">
      <c r="A2738" s="17" t="s">
        <v>706</v>
      </c>
      <c r="B2738" s="19" t="s">
        <v>707</v>
      </c>
      <c r="C2738" s="20">
        <f>80707.24+138327.76</f>
        <v>219035</v>
      </c>
      <c r="D2738" s="5"/>
    </row>
    <row r="2739" spans="1:4" ht="15">
      <c r="A2739" s="17" t="s">
        <v>708</v>
      </c>
      <c r="B2739" s="19" t="s">
        <v>709</v>
      </c>
      <c r="C2739" s="20">
        <f>43435.96+79496.55</f>
        <v>122932.51000000001</v>
      </c>
      <c r="D2739" s="5"/>
    </row>
    <row r="2740" spans="1:4" ht="18">
      <c r="A2740" s="17">
        <v>2</v>
      </c>
      <c r="B2740" s="18" t="s">
        <v>620</v>
      </c>
      <c r="C2740" s="21">
        <f>C2741+C2742</f>
        <v>321105.79000000004</v>
      </c>
      <c r="D2740" s="13"/>
    </row>
    <row r="2741" spans="1:4" ht="15.75">
      <c r="A2741" s="17" t="s">
        <v>621</v>
      </c>
      <c r="B2741" s="22" t="s">
        <v>712</v>
      </c>
      <c r="C2741" s="23">
        <f>74839.75+128293.21</f>
        <v>203132.96000000002</v>
      </c>
      <c r="D2741" s="13"/>
    </row>
    <row r="2742" spans="1:4" ht="15.75">
      <c r="A2742" s="17" t="s">
        <v>623</v>
      </c>
      <c r="B2742" s="22" t="s">
        <v>619</v>
      </c>
      <c r="C2742" s="23">
        <f>41587.21+76385.62</f>
        <v>117972.82999999999</v>
      </c>
      <c r="D2742" s="5"/>
    </row>
    <row r="2743" spans="1:4" ht="36">
      <c r="A2743" s="17">
        <v>5</v>
      </c>
      <c r="B2743" s="24" t="s">
        <v>625</v>
      </c>
      <c r="C2743" s="85">
        <f>C2744+C2746</f>
        <v>406217.6</v>
      </c>
      <c r="D2743" s="13"/>
    </row>
    <row r="2744" spans="1:4" ht="18.75">
      <c r="A2744" s="86" t="s">
        <v>627</v>
      </c>
      <c r="B2744" s="87" t="s">
        <v>626</v>
      </c>
      <c r="C2744" s="27">
        <f>C2745</f>
        <v>130632.53</v>
      </c>
      <c r="D2744" s="13"/>
    </row>
    <row r="2745" spans="1:4" ht="15.75">
      <c r="A2745" s="17"/>
      <c r="B2745" s="87" t="s">
        <v>713</v>
      </c>
      <c r="C2745" s="88">
        <f>2219*58.87</f>
        <v>130632.53</v>
      </c>
      <c r="D2745" s="13"/>
    </row>
    <row r="2746" spans="1:4" ht="18.75">
      <c r="A2746" s="17" t="s">
        <v>629</v>
      </c>
      <c r="B2746" s="87" t="s">
        <v>630</v>
      </c>
      <c r="C2746" s="27">
        <f>C2747+C2748+C2749+C2750+C2751+C2752+C2753+C2754</f>
        <v>275585.07</v>
      </c>
      <c r="D2746" s="13"/>
    </row>
    <row r="2747" spans="1:4" ht="25.5">
      <c r="A2747" s="30" t="s">
        <v>631</v>
      </c>
      <c r="B2747" s="31" t="s">
        <v>632</v>
      </c>
      <c r="C2747" s="32">
        <v>47818.52</v>
      </c>
      <c r="D2747" s="5"/>
    </row>
    <row r="2748" spans="1:4" ht="12.75">
      <c r="A2748" s="17" t="s">
        <v>633</v>
      </c>
      <c r="B2748" s="33" t="s">
        <v>17</v>
      </c>
      <c r="C2748" s="34">
        <v>140.18</v>
      </c>
      <c r="D2748" s="5"/>
    </row>
    <row r="2749" spans="1:4" ht="12.75">
      <c r="A2749" s="17" t="s">
        <v>637</v>
      </c>
      <c r="B2749" s="35" t="s">
        <v>18</v>
      </c>
      <c r="C2749" s="34">
        <v>6863.4</v>
      </c>
      <c r="D2749" s="5"/>
    </row>
    <row r="2750" spans="1:4" ht="12.75">
      <c r="A2750" s="30" t="s">
        <v>639</v>
      </c>
      <c r="B2750" s="33" t="s">
        <v>139</v>
      </c>
      <c r="C2750" s="34">
        <f>6.9*230*12</f>
        <v>19044</v>
      </c>
      <c r="D2750" s="5"/>
    </row>
    <row r="2751" spans="1:4" ht="12.75">
      <c r="A2751" s="30" t="s">
        <v>641</v>
      </c>
      <c r="B2751" s="35" t="s">
        <v>20</v>
      </c>
      <c r="C2751" s="34">
        <v>51625.18</v>
      </c>
      <c r="D2751" s="5"/>
    </row>
    <row r="2752" spans="1:4" ht="12.75">
      <c r="A2752" s="30"/>
      <c r="B2752" s="94" t="s">
        <v>140</v>
      </c>
      <c r="C2752" s="91">
        <f>1*(119.5+56.3)+250</f>
        <v>425.8</v>
      </c>
      <c r="D2752" s="5"/>
    </row>
    <row r="2753" spans="1:4" ht="12.75">
      <c r="A2753" s="30" t="s">
        <v>647</v>
      </c>
      <c r="B2753" s="33" t="s">
        <v>23</v>
      </c>
      <c r="C2753" s="34">
        <v>32858.7</v>
      </c>
      <c r="D2753" s="5"/>
    </row>
    <row r="2754" spans="1:4" ht="12.75">
      <c r="A2754" s="17" t="s">
        <v>717</v>
      </c>
      <c r="B2754" s="33" t="s">
        <v>24</v>
      </c>
      <c r="C2754" s="34">
        <v>116809.29</v>
      </c>
      <c r="D2754" s="13"/>
    </row>
    <row r="2755" spans="1:4" ht="30">
      <c r="A2755" s="8"/>
      <c r="B2755" s="45" t="s">
        <v>25</v>
      </c>
      <c r="C2755" s="46">
        <f>C2740-C2743</f>
        <v>-85111.80999999994</v>
      </c>
      <c r="D2755" s="49"/>
    </row>
    <row r="2756" spans="1:4" ht="15.75">
      <c r="A2756" s="8"/>
      <c r="B2756" s="45" t="s">
        <v>26</v>
      </c>
      <c r="C2756" s="46">
        <v>-17522.79</v>
      </c>
      <c r="D2756" s="5"/>
    </row>
    <row r="2757" spans="1:4" ht="15.75">
      <c r="A2757" s="8"/>
      <c r="B2757" s="45" t="s">
        <v>652</v>
      </c>
      <c r="C2757" s="46">
        <f>C2755+C2756</f>
        <v>-102634.59999999995</v>
      </c>
      <c r="D2757" s="5"/>
    </row>
    <row r="2758" spans="1:4" ht="15.75">
      <c r="A2758" s="8"/>
      <c r="B2758" s="45"/>
      <c r="C2758" s="46"/>
      <c r="D2758" s="5"/>
    </row>
    <row r="2759" spans="1:4" ht="31.5">
      <c r="A2759" s="8"/>
      <c r="B2759" s="150" t="s">
        <v>27</v>
      </c>
      <c r="C2759" s="46">
        <f>C2740-(C2736+C2737)-6354.75</f>
        <v>-83729.25</v>
      </c>
      <c r="D2759" s="13"/>
    </row>
    <row r="2760" spans="1:4" ht="15.75">
      <c r="A2760" s="8"/>
      <c r="B2760" s="45" t="s">
        <v>654</v>
      </c>
      <c r="C2760" s="46">
        <v>-50111.89</v>
      </c>
      <c r="D2760" s="5"/>
    </row>
    <row r="2761" spans="1:4" ht="15.75">
      <c r="A2761" s="8"/>
      <c r="B2761" s="45" t="s">
        <v>726</v>
      </c>
      <c r="C2761" s="46">
        <v>-27262.61</v>
      </c>
      <c r="D2761" s="5"/>
    </row>
    <row r="2762" spans="1:3" ht="15.75">
      <c r="A2762" s="8"/>
      <c r="B2762" s="83" t="s">
        <v>141</v>
      </c>
      <c r="C2762" s="23">
        <v>-6354.75</v>
      </c>
    </row>
    <row r="2763" spans="1:3" ht="15.75">
      <c r="A2763" s="8"/>
      <c r="B2763" s="98"/>
      <c r="C2763" s="23"/>
    </row>
    <row r="2765" ht="12.75">
      <c r="B2765" t="s">
        <v>755</v>
      </c>
    </row>
    <row r="2766" ht="12.75">
      <c r="B2766" t="s">
        <v>63</v>
      </c>
    </row>
    <row r="2767" spans="2:3" ht="12.75">
      <c r="B2767" t="s">
        <v>142</v>
      </c>
      <c r="C2767" s="112">
        <f>2219*58.87</f>
        <v>130632.53</v>
      </c>
    </row>
    <row r="2768" spans="2:3" ht="12.75">
      <c r="B2768" t="s">
        <v>579</v>
      </c>
      <c r="C2768" s="113">
        <f>1904.37*58.87</f>
        <v>112110.26189999998</v>
      </c>
    </row>
    <row r="2769" spans="2:3" ht="15">
      <c r="B2769" s="114" t="s">
        <v>143</v>
      </c>
      <c r="C2769" s="115">
        <f>C2767-C2768</f>
        <v>18522.268100000016</v>
      </c>
    </row>
    <row r="2770" ht="52.5" customHeight="1"/>
    <row r="2771" spans="2:4" ht="15">
      <c r="B2771" s="196" t="s">
        <v>609</v>
      </c>
      <c r="C2771" s="196"/>
      <c r="D2771" s="196"/>
    </row>
    <row r="2772" spans="2:4" ht="15">
      <c r="B2772" s="197" t="s">
        <v>704</v>
      </c>
      <c r="C2772" s="197"/>
      <c r="D2772" s="1"/>
    </row>
    <row r="2773" spans="2:4" ht="18.75">
      <c r="B2773" s="198" t="s">
        <v>144</v>
      </c>
      <c r="C2773" s="198"/>
      <c r="D2773" s="198"/>
    </row>
    <row r="2774" spans="2:4" ht="15.75">
      <c r="B2774" s="199" t="s">
        <v>612</v>
      </c>
      <c r="C2774" s="199"/>
      <c r="D2774" s="199"/>
    </row>
    <row r="2775" spans="2:4" ht="14.25">
      <c r="B2775" s="6"/>
      <c r="C2775" s="7"/>
      <c r="D2775" s="5"/>
    </row>
    <row r="2776" spans="1:4" ht="15">
      <c r="A2776" s="8"/>
      <c r="B2776" s="9" t="s">
        <v>613</v>
      </c>
      <c r="C2776" s="10">
        <v>1272.9</v>
      </c>
      <c r="D2776" s="5"/>
    </row>
    <row r="2777" spans="1:4" ht="12.75">
      <c r="A2777" s="8"/>
      <c r="B2777" s="11" t="s">
        <v>145</v>
      </c>
      <c r="C2777" s="12">
        <v>5.33</v>
      </c>
      <c r="D2777" s="13"/>
    </row>
    <row r="2778" spans="1:4" ht="12.75">
      <c r="A2778" s="8"/>
      <c r="B2778" s="14" t="s">
        <v>146</v>
      </c>
      <c r="C2778" s="12">
        <v>9.16</v>
      </c>
      <c r="D2778" s="13"/>
    </row>
    <row r="2779" spans="1:4" ht="18.75">
      <c r="A2779" s="8"/>
      <c r="B2779" s="15" t="s">
        <v>616</v>
      </c>
      <c r="C2779" s="16">
        <v>79785.68</v>
      </c>
      <c r="D2779" s="13"/>
    </row>
    <row r="2780" spans="1:4" ht="18">
      <c r="A2780" s="17">
        <v>1</v>
      </c>
      <c r="B2780" s="18" t="s">
        <v>147</v>
      </c>
      <c r="C2780" s="21">
        <f>C2781+C2782</f>
        <v>392039.43</v>
      </c>
      <c r="D2780" s="5"/>
    </row>
    <row r="2781" spans="1:4" ht="15">
      <c r="A2781" s="17"/>
      <c r="B2781" s="19" t="s">
        <v>148</v>
      </c>
      <c r="C2781" s="20">
        <f>73520.64+160968.36</f>
        <v>234489</v>
      </c>
      <c r="D2781" s="5"/>
    </row>
    <row r="2782" spans="1:4" ht="15">
      <c r="A2782" s="17"/>
      <c r="B2782" s="19" t="s">
        <v>149</v>
      </c>
      <c r="C2782" s="20">
        <f>55665.72+101884.71</f>
        <v>157550.43</v>
      </c>
      <c r="D2782" s="5"/>
    </row>
    <row r="2783" spans="1:4" ht="18">
      <c r="A2783" s="17">
        <v>2</v>
      </c>
      <c r="B2783" s="18" t="s">
        <v>620</v>
      </c>
      <c r="C2783" s="21">
        <f>C2784+C2785</f>
        <v>348743.25</v>
      </c>
      <c r="D2783" s="13"/>
    </row>
    <row r="2784" spans="1:4" ht="15.75">
      <c r="A2784" s="17"/>
      <c r="B2784" s="102" t="s">
        <v>150</v>
      </c>
      <c r="C2784" s="23">
        <f>68090.78+149545.88</f>
        <v>217636.66</v>
      </c>
      <c r="D2784" s="13"/>
    </row>
    <row r="2785" spans="1:4" ht="15.75">
      <c r="A2785" s="17"/>
      <c r="B2785" s="157" t="s">
        <v>416</v>
      </c>
      <c r="C2785" s="23">
        <f>46221.64+84884.95</f>
        <v>131106.59</v>
      </c>
      <c r="D2785" s="5"/>
    </row>
    <row r="2786" spans="1:4" ht="36">
      <c r="A2786" s="17">
        <v>5</v>
      </c>
      <c r="B2786" s="24" t="s">
        <v>625</v>
      </c>
      <c r="C2786" s="85">
        <f>C2787+C2789</f>
        <v>350948.13</v>
      </c>
      <c r="D2786" s="13"/>
    </row>
    <row r="2787" spans="1:4" ht="18">
      <c r="A2787" s="17"/>
      <c r="B2787" s="87" t="s">
        <v>626</v>
      </c>
      <c r="C2787" s="85">
        <f>C2788</f>
        <v>141582.35</v>
      </c>
      <c r="D2787" s="13"/>
    </row>
    <row r="2788" spans="1:4" ht="15.75">
      <c r="A2788" s="17"/>
      <c r="B2788" s="87" t="s">
        <v>713</v>
      </c>
      <c r="C2788" s="69">
        <f>2405*58.87</f>
        <v>141582.35</v>
      </c>
      <c r="D2788" s="13"/>
    </row>
    <row r="2789" spans="1:4" ht="18">
      <c r="A2789" s="17"/>
      <c r="B2789" s="87" t="s">
        <v>630</v>
      </c>
      <c r="C2789" s="85">
        <f>C2790+C2791+C2792+C2793+C2794+C2795+C2796</f>
        <v>209365.78000000003</v>
      </c>
      <c r="D2789" s="13"/>
    </row>
    <row r="2790" spans="1:4" ht="25.5">
      <c r="A2790" s="30" t="s">
        <v>631</v>
      </c>
      <c r="B2790" s="158" t="s">
        <v>424</v>
      </c>
      <c r="C2790" s="32">
        <v>40263.82</v>
      </c>
      <c r="D2790" s="5"/>
    </row>
    <row r="2791" spans="1:4" ht="12.75">
      <c r="A2791" s="17" t="s">
        <v>633</v>
      </c>
      <c r="B2791" s="159" t="s">
        <v>425</v>
      </c>
      <c r="C2791" s="34">
        <v>132.25</v>
      </c>
      <c r="D2791" s="5"/>
    </row>
    <row r="2792" spans="1:4" ht="12.75">
      <c r="A2792" s="17" t="s">
        <v>635</v>
      </c>
      <c r="B2792" s="160" t="s">
        <v>426</v>
      </c>
      <c r="C2792" s="34">
        <v>45764.06</v>
      </c>
      <c r="D2792" s="5"/>
    </row>
    <row r="2793" spans="1:4" ht="12.75">
      <c r="A2793" s="17" t="s">
        <v>637</v>
      </c>
      <c r="B2793" s="160" t="s">
        <v>427</v>
      </c>
      <c r="C2793" s="34">
        <v>7136.82</v>
      </c>
      <c r="D2793" s="5"/>
    </row>
    <row r="2794" spans="1:4" ht="12.75">
      <c r="A2794" s="30" t="s">
        <v>639</v>
      </c>
      <c r="B2794" s="159" t="s">
        <v>151</v>
      </c>
      <c r="C2794" s="34">
        <f>6.6*230*12</f>
        <v>18216</v>
      </c>
      <c r="D2794" s="5"/>
    </row>
    <row r="2795" spans="1:4" ht="12.75">
      <c r="A2795" s="30" t="s">
        <v>645</v>
      </c>
      <c r="B2795" s="159" t="s">
        <v>429</v>
      </c>
      <c r="C2795" s="91">
        <f>C2781*0.15</f>
        <v>35173.35</v>
      </c>
      <c r="D2795" s="5"/>
    </row>
    <row r="2796" spans="1:4" ht="12.75">
      <c r="A2796" s="8" t="s">
        <v>647</v>
      </c>
      <c r="B2796" s="159" t="s">
        <v>152</v>
      </c>
      <c r="C2796" s="34">
        <f>C2798+C2799+C2800+C2801+C2802+C2803+C2804+C2805+C2806</f>
        <v>62679.479999999996</v>
      </c>
      <c r="D2796" s="13"/>
    </row>
    <row r="2797" spans="1:4" ht="12.75">
      <c r="A2797" s="8"/>
      <c r="B2797" s="171" t="s">
        <v>153</v>
      </c>
      <c r="C2797" s="34"/>
      <c r="D2797" s="13"/>
    </row>
    <row r="2798" spans="1:4" ht="24">
      <c r="A2798" s="8"/>
      <c r="B2798" s="37" t="s">
        <v>154</v>
      </c>
      <c r="C2798" s="41">
        <v>3275.93</v>
      </c>
      <c r="D2798" s="5"/>
    </row>
    <row r="2799" spans="1:4" ht="36">
      <c r="A2799" s="8"/>
      <c r="B2799" s="124" t="s">
        <v>155</v>
      </c>
      <c r="C2799" s="78">
        <v>5924.3</v>
      </c>
      <c r="D2799" s="5"/>
    </row>
    <row r="2800" spans="1:4" ht="48">
      <c r="A2800" s="8"/>
      <c r="B2800" s="37" t="s">
        <v>156</v>
      </c>
      <c r="C2800" s="41">
        <f>602.42+3388.96</f>
        <v>3991.38</v>
      </c>
      <c r="D2800" s="5"/>
    </row>
    <row r="2801" spans="1:4" ht="12.75">
      <c r="A2801" s="8"/>
      <c r="B2801" s="37" t="s">
        <v>157</v>
      </c>
      <c r="C2801" s="41">
        <v>812.41</v>
      </c>
      <c r="D2801" s="5"/>
    </row>
    <row r="2802" spans="1:4" ht="12.75">
      <c r="A2802" s="8"/>
      <c r="B2802" s="37" t="s">
        <v>158</v>
      </c>
      <c r="C2802" s="41">
        <v>301.21</v>
      </c>
      <c r="D2802" s="5"/>
    </row>
    <row r="2803" spans="1:4" ht="12.75">
      <c r="A2803" s="8"/>
      <c r="B2803" s="37" t="s">
        <v>159</v>
      </c>
      <c r="C2803" s="41">
        <v>1833.96</v>
      </c>
      <c r="D2803" s="5"/>
    </row>
    <row r="2804" spans="1:4" ht="12.75">
      <c r="A2804" s="8"/>
      <c r="B2804" s="37" t="s">
        <v>160</v>
      </c>
      <c r="C2804" s="41">
        <v>26000</v>
      </c>
      <c r="D2804" s="5"/>
    </row>
    <row r="2805" spans="1:4" ht="48">
      <c r="A2805" s="8"/>
      <c r="B2805" s="37" t="s">
        <v>161</v>
      </c>
      <c r="C2805" s="41">
        <v>11208.63</v>
      </c>
      <c r="D2805" s="5"/>
    </row>
    <row r="2806" spans="1:4" ht="12.75">
      <c r="A2806" s="8"/>
      <c r="B2806" s="139" t="s">
        <v>162</v>
      </c>
      <c r="C2806" s="211">
        <v>9331.66</v>
      </c>
      <c r="D2806" s="5"/>
    </row>
    <row r="2807" spans="1:4" ht="12.75">
      <c r="A2807" s="162"/>
      <c r="B2807" s="139"/>
      <c r="C2807" s="212"/>
      <c r="D2807" s="5"/>
    </row>
    <row r="2808" spans="1:4" ht="30">
      <c r="A2808" s="162"/>
      <c r="B2808" s="45" t="s">
        <v>25</v>
      </c>
      <c r="C2808" s="71">
        <f>C2783-C2786</f>
        <v>-2204.8800000000047</v>
      </c>
      <c r="D2808" s="5"/>
    </row>
    <row r="2809" spans="1:4" ht="15.75">
      <c r="A2809" s="8"/>
      <c r="B2809" s="45" t="s">
        <v>26</v>
      </c>
      <c r="C2809" s="46">
        <v>-17532.94</v>
      </c>
      <c r="D2809" s="5"/>
    </row>
    <row r="2810" spans="1:4" ht="15.75">
      <c r="A2810" s="8"/>
      <c r="B2810" s="45" t="s">
        <v>652</v>
      </c>
      <c r="C2810" s="46">
        <f>C2808+C2809</f>
        <v>-19737.820000000003</v>
      </c>
      <c r="D2810" s="5"/>
    </row>
    <row r="2811" spans="1:4" ht="15.75">
      <c r="A2811" s="8"/>
      <c r="B2811" s="45"/>
      <c r="C2811" s="46"/>
      <c r="D2811" s="5"/>
    </row>
    <row r="2812" spans="1:4" ht="31.5">
      <c r="A2812" s="8"/>
      <c r="B2812" s="150" t="s">
        <v>27</v>
      </c>
      <c r="C2812" s="46">
        <f>C2783-(C2779+C2780)</f>
        <v>-123081.85999999999</v>
      </c>
      <c r="D2812" s="5"/>
    </row>
    <row r="2813" spans="1:4" ht="15.75">
      <c r="A2813" s="8"/>
      <c r="B2813" s="45" t="s">
        <v>654</v>
      </c>
      <c r="C2813" s="46">
        <v>-56128.82</v>
      </c>
      <c r="D2813" s="5"/>
    </row>
    <row r="2814" spans="1:4" ht="15.75">
      <c r="A2814" s="8"/>
      <c r="B2814" s="45" t="s">
        <v>726</v>
      </c>
      <c r="C2814" s="46">
        <v>-66953.04</v>
      </c>
      <c r="D2814" s="5"/>
    </row>
    <row r="2815" ht="52.5" customHeight="1"/>
    <row r="2816" spans="2:4" ht="15">
      <c r="B2816" s="196" t="s">
        <v>609</v>
      </c>
      <c r="C2816" s="196"/>
      <c r="D2816" s="196"/>
    </row>
    <row r="2817" spans="2:4" ht="15">
      <c r="B2817" s="197" t="s">
        <v>610</v>
      </c>
      <c r="C2817" s="197"/>
      <c r="D2817" s="1"/>
    </row>
    <row r="2818" spans="2:4" ht="18.75">
      <c r="B2818" s="198" t="s">
        <v>163</v>
      </c>
      <c r="C2818" s="198"/>
      <c r="D2818" s="198"/>
    </row>
    <row r="2819" spans="2:4" ht="15.75">
      <c r="B2819" s="199" t="s">
        <v>612</v>
      </c>
      <c r="C2819" s="199"/>
      <c r="D2819" s="199"/>
    </row>
    <row r="2820" spans="2:4" ht="12.75">
      <c r="B2820" s="3"/>
      <c r="C2820" s="4"/>
      <c r="D2820" s="5"/>
    </row>
    <row r="2821" spans="2:4" ht="14.25">
      <c r="B2821" s="6"/>
      <c r="C2821" s="7"/>
      <c r="D2821" s="5"/>
    </row>
    <row r="2822" spans="1:4" ht="15.75">
      <c r="A2822" s="8"/>
      <c r="B2822" s="51" t="s">
        <v>613</v>
      </c>
      <c r="C2822" s="52">
        <v>247.17</v>
      </c>
      <c r="D2822" s="5"/>
    </row>
    <row r="2823" spans="1:4" ht="15">
      <c r="A2823" s="8"/>
      <c r="B2823" s="53" t="s">
        <v>667</v>
      </c>
      <c r="C2823" s="54">
        <v>3.2</v>
      </c>
      <c r="D2823" s="13"/>
    </row>
    <row r="2824" spans="1:4" ht="15">
      <c r="A2824" s="8"/>
      <c r="B2824" s="55" t="s">
        <v>615</v>
      </c>
      <c r="C2824" s="56">
        <v>5.49</v>
      </c>
      <c r="D2824" s="13"/>
    </row>
    <row r="2825" spans="1:4" ht="18.75">
      <c r="A2825" s="8"/>
      <c r="B2825" s="15" t="s">
        <v>616</v>
      </c>
      <c r="C2825" s="57">
        <f>3001.38+5089.28</f>
        <v>8090.66</v>
      </c>
      <c r="D2825" s="13"/>
    </row>
    <row r="2826" spans="1:4" ht="18">
      <c r="A2826" s="17">
        <v>1</v>
      </c>
      <c r="B2826" s="18" t="s">
        <v>668</v>
      </c>
      <c r="C2826" s="21">
        <f>9491.28+16283.52</f>
        <v>25774.800000000003</v>
      </c>
      <c r="D2826" s="5"/>
    </row>
    <row r="2827" spans="1:4" ht="18">
      <c r="A2827" s="17">
        <v>2</v>
      </c>
      <c r="B2827" s="58" t="s">
        <v>669</v>
      </c>
      <c r="C2827" s="59">
        <f>(C2825+C2826)-C2829</f>
        <v>23116.080000000005</v>
      </c>
      <c r="D2827" s="5"/>
    </row>
    <row r="2828" spans="1:4" ht="15">
      <c r="A2828" s="17">
        <v>3</v>
      </c>
      <c r="B2828" s="19" t="s">
        <v>670</v>
      </c>
      <c r="C2828" s="20"/>
      <c r="D2828" s="5"/>
    </row>
    <row r="2829" spans="1:4" ht="15">
      <c r="A2829" s="17"/>
      <c r="B2829" s="60" t="s">
        <v>671</v>
      </c>
      <c r="C2829" s="20">
        <f>3951.71+6797.67</f>
        <v>10749.380000000001</v>
      </c>
      <c r="D2829" s="5"/>
    </row>
    <row r="2830" spans="1:4" ht="15">
      <c r="A2830" s="61"/>
      <c r="B2830" s="62"/>
      <c r="C2830" s="63"/>
      <c r="D2830" s="5"/>
    </row>
    <row r="2831" spans="1:4" ht="31.5">
      <c r="A2831" s="17">
        <v>4</v>
      </c>
      <c r="B2831" s="64" t="s">
        <v>625</v>
      </c>
      <c r="C2831" s="27">
        <f>C2832+C2833+C2834+C2835+C2836+C2837</f>
        <v>17245.17</v>
      </c>
      <c r="D2831" s="5"/>
    </row>
    <row r="2832" spans="1:4" ht="26.25">
      <c r="A2832" s="30" t="s">
        <v>672</v>
      </c>
      <c r="B2832" s="31" t="s">
        <v>632</v>
      </c>
      <c r="C2832" s="66">
        <v>1343.32</v>
      </c>
      <c r="D2832" s="5"/>
    </row>
    <row r="2833" spans="1:4" ht="15.75">
      <c r="A2833" s="17" t="s">
        <v>697</v>
      </c>
      <c r="B2833" s="79"/>
      <c r="C2833" s="23"/>
      <c r="D2833" s="5"/>
    </row>
    <row r="2834" spans="1:4" ht="15.75">
      <c r="A2834" s="17" t="s">
        <v>673</v>
      </c>
      <c r="B2834" s="79" t="s">
        <v>699</v>
      </c>
      <c r="C2834" s="23">
        <v>25.63</v>
      </c>
      <c r="D2834" s="5"/>
    </row>
    <row r="2835" spans="1:4" ht="15.75">
      <c r="A2835" s="17" t="s">
        <v>676</v>
      </c>
      <c r="B2835" s="81" t="s">
        <v>68</v>
      </c>
      <c r="C2835" s="69">
        <f>1.8*230*12</f>
        <v>4968</v>
      </c>
      <c r="D2835" s="5"/>
    </row>
    <row r="2836" spans="1:4" ht="15.75">
      <c r="A2836" s="17" t="s">
        <v>31</v>
      </c>
      <c r="B2836" s="82" t="s">
        <v>703</v>
      </c>
      <c r="C2836" s="71">
        <f>C2826*0.15</f>
        <v>3866.2200000000003</v>
      </c>
      <c r="D2836" s="5"/>
    </row>
    <row r="2837" spans="1:4" ht="15.75">
      <c r="A2837" s="213" t="s">
        <v>33</v>
      </c>
      <c r="B2837" s="79" t="s">
        <v>702</v>
      </c>
      <c r="C2837" s="23">
        <f>C2838+C2839+C2840</f>
        <v>7042</v>
      </c>
      <c r="D2837" s="5"/>
    </row>
    <row r="2838" spans="1:4" ht="12.75">
      <c r="A2838" s="8"/>
      <c r="B2838" s="77" t="s">
        <v>164</v>
      </c>
      <c r="C2838" s="96">
        <v>56.08</v>
      </c>
      <c r="D2838" s="5"/>
    </row>
    <row r="2839" spans="1:4" ht="12.75">
      <c r="A2839" s="8"/>
      <c r="B2839" s="37" t="s">
        <v>165</v>
      </c>
      <c r="C2839" s="167">
        <v>892.19</v>
      </c>
      <c r="D2839" s="5"/>
    </row>
    <row r="2840" spans="1:4" ht="12.75">
      <c r="A2840" s="8"/>
      <c r="B2840" s="37" t="s">
        <v>166</v>
      </c>
      <c r="C2840" s="167">
        <v>6093.73</v>
      </c>
      <c r="D2840" s="5"/>
    </row>
    <row r="2841" spans="1:4" ht="15.75">
      <c r="A2841" s="8"/>
      <c r="B2841" s="83"/>
      <c r="C2841" s="23"/>
      <c r="D2841" s="5"/>
    </row>
    <row r="2842" spans="1:3" ht="18">
      <c r="A2842" s="8"/>
      <c r="B2842" s="73" t="s">
        <v>683</v>
      </c>
      <c r="C2842" s="74">
        <v>-18409.31</v>
      </c>
    </row>
    <row r="2843" spans="1:4" ht="18">
      <c r="A2843" s="8"/>
      <c r="B2843" s="73" t="s">
        <v>167</v>
      </c>
      <c r="C2843" s="59">
        <f>C2827-C2831</f>
        <v>5870.910000000007</v>
      </c>
      <c r="D2843" s="75"/>
    </row>
    <row r="2844" spans="1:3" ht="18.75">
      <c r="A2844" s="8"/>
      <c r="B2844" s="76" t="s">
        <v>652</v>
      </c>
      <c r="C2844" s="74">
        <f>SUM(C2842:C2843)</f>
        <v>-12538.399999999994</v>
      </c>
    </row>
    <row r="2845" ht="54" customHeight="1"/>
    <row r="2846" spans="2:4" ht="15">
      <c r="B2846" s="196" t="s">
        <v>609</v>
      </c>
      <c r="C2846" s="196"/>
      <c r="D2846" s="196"/>
    </row>
    <row r="2847" spans="2:4" ht="15">
      <c r="B2847" s="197" t="s">
        <v>610</v>
      </c>
      <c r="C2847" s="197"/>
      <c r="D2847" s="1"/>
    </row>
    <row r="2848" spans="2:4" ht="18.75">
      <c r="B2848" s="198" t="s">
        <v>168</v>
      </c>
      <c r="C2848" s="198"/>
      <c r="D2848" s="198"/>
    </row>
    <row r="2849" spans="2:4" ht="15.75">
      <c r="B2849" s="199" t="s">
        <v>612</v>
      </c>
      <c r="C2849" s="199"/>
      <c r="D2849" s="199"/>
    </row>
    <row r="2850" spans="2:4" ht="12.75">
      <c r="B2850" s="3"/>
      <c r="C2850" s="4"/>
      <c r="D2850" s="5"/>
    </row>
    <row r="2851" spans="2:4" ht="14.25">
      <c r="B2851" s="6"/>
      <c r="C2851" s="7"/>
      <c r="D2851" s="5"/>
    </row>
    <row r="2852" spans="1:4" ht="15.75">
      <c r="A2852" s="8"/>
      <c r="B2852" s="51" t="s">
        <v>613</v>
      </c>
      <c r="C2852" s="52">
        <v>523.51</v>
      </c>
      <c r="D2852" s="5"/>
    </row>
    <row r="2853" spans="1:4" ht="15">
      <c r="A2853" s="8"/>
      <c r="B2853" s="53" t="s">
        <v>667</v>
      </c>
      <c r="C2853" s="54">
        <v>3.2</v>
      </c>
      <c r="D2853" s="13"/>
    </row>
    <row r="2854" spans="1:4" ht="15">
      <c r="A2854" s="8"/>
      <c r="B2854" s="55" t="s">
        <v>615</v>
      </c>
      <c r="C2854" s="56">
        <v>5.49</v>
      </c>
      <c r="D2854" s="13"/>
    </row>
    <row r="2855" spans="1:4" ht="18.75">
      <c r="A2855" s="8"/>
      <c r="B2855" s="15" t="s">
        <v>616</v>
      </c>
      <c r="C2855" s="57">
        <f>3298.17+5644.44</f>
        <v>8942.61</v>
      </c>
      <c r="D2855" s="13"/>
    </row>
    <row r="2856" spans="1:4" ht="18">
      <c r="A2856" s="17">
        <v>1</v>
      </c>
      <c r="B2856" s="18" t="s">
        <v>668</v>
      </c>
      <c r="C2856" s="21">
        <f>20100.12+34484.28</f>
        <v>54584.399999999994</v>
      </c>
      <c r="D2856" s="5"/>
    </row>
    <row r="2857" spans="1:4" ht="18">
      <c r="A2857" s="17">
        <v>2</v>
      </c>
      <c r="B2857" s="58" t="s">
        <v>669</v>
      </c>
      <c r="C2857" s="59">
        <f>(C2855+C2856)-C2859</f>
        <v>47667.95999999999</v>
      </c>
      <c r="D2857" s="5"/>
    </row>
    <row r="2858" spans="1:4" ht="15">
      <c r="A2858" s="17">
        <v>3</v>
      </c>
      <c r="B2858" s="19" t="s">
        <v>670</v>
      </c>
      <c r="C2858" s="20"/>
      <c r="D2858" s="5"/>
    </row>
    <row r="2859" spans="1:4" ht="15">
      <c r="A2859" s="17"/>
      <c r="B2859" s="60" t="s">
        <v>671</v>
      </c>
      <c r="C2859" s="20">
        <f>5845.09+10013.96</f>
        <v>15859.05</v>
      </c>
      <c r="D2859" s="5"/>
    </row>
    <row r="2860" spans="1:4" ht="15">
      <c r="A2860" s="61"/>
      <c r="B2860" s="62"/>
      <c r="C2860" s="63"/>
      <c r="D2860" s="5"/>
    </row>
    <row r="2861" spans="1:4" ht="31.5">
      <c r="A2861" s="17">
        <v>4</v>
      </c>
      <c r="B2861" s="64" t="s">
        <v>625</v>
      </c>
      <c r="C2861" s="27">
        <f>C2862+C2863+C2864+C2865+C2867+C2868+C2869+C2870</f>
        <v>127957.77999999998</v>
      </c>
      <c r="D2861" s="5"/>
    </row>
    <row r="2862" spans="1:4" ht="26.25">
      <c r="A2862" s="30" t="s">
        <v>672</v>
      </c>
      <c r="B2862" s="31" t="s">
        <v>632</v>
      </c>
      <c r="C2862" s="66">
        <v>3609.73</v>
      </c>
      <c r="D2862" s="5"/>
    </row>
    <row r="2863" spans="1:4" ht="15.75">
      <c r="A2863" s="17" t="s">
        <v>697</v>
      </c>
      <c r="B2863" s="83" t="s">
        <v>9</v>
      </c>
      <c r="C2863" s="23">
        <v>1445.22</v>
      </c>
      <c r="D2863" s="5"/>
    </row>
    <row r="2864" spans="1:4" ht="15.75">
      <c r="A2864" s="17" t="s">
        <v>673</v>
      </c>
      <c r="B2864" s="79" t="s">
        <v>699</v>
      </c>
      <c r="C2864" s="23">
        <v>36.96</v>
      </c>
      <c r="D2864" s="5"/>
    </row>
    <row r="2865" spans="1:4" ht="15.75">
      <c r="A2865" s="17" t="s">
        <v>676</v>
      </c>
      <c r="B2865" s="81" t="s">
        <v>486</v>
      </c>
      <c r="C2865" s="69">
        <f>2.3*230*12</f>
        <v>6348</v>
      </c>
      <c r="D2865" s="5"/>
    </row>
    <row r="2866" spans="1:4" ht="15.75">
      <c r="A2866" s="17"/>
      <c r="B2866" s="83" t="s">
        <v>169</v>
      </c>
      <c r="C2866" s="214"/>
      <c r="D2866" s="5"/>
    </row>
    <row r="2867" spans="1:4" ht="15.75">
      <c r="A2867" s="17"/>
      <c r="B2867" s="37" t="s">
        <v>170</v>
      </c>
      <c r="C2867" s="23">
        <v>333.33</v>
      </c>
      <c r="D2867" s="5"/>
    </row>
    <row r="2868" spans="1:4" ht="15.75">
      <c r="A2868" s="17"/>
      <c r="B2868" s="36" t="s">
        <v>171</v>
      </c>
      <c r="C2868" s="23">
        <f>1600/2</f>
        <v>800</v>
      </c>
      <c r="D2868" s="5"/>
    </row>
    <row r="2869" spans="1:4" ht="15.75">
      <c r="A2869" s="17" t="s">
        <v>31</v>
      </c>
      <c r="B2869" s="82" t="s">
        <v>703</v>
      </c>
      <c r="C2869" s="71">
        <f>C2856*0.15</f>
        <v>8187.659999999999</v>
      </c>
      <c r="D2869" s="5"/>
    </row>
    <row r="2870" spans="1:4" ht="15.75">
      <c r="A2870" s="213" t="s">
        <v>33</v>
      </c>
      <c r="B2870" s="79" t="s">
        <v>702</v>
      </c>
      <c r="C2870" s="23">
        <f>C2871+C2872+C2873+C2874</f>
        <v>107196.87999999999</v>
      </c>
      <c r="D2870" s="5"/>
    </row>
    <row r="2871" spans="1:4" ht="12.75">
      <c r="A2871" s="8"/>
      <c r="B2871" s="47" t="s">
        <v>172</v>
      </c>
      <c r="C2871" s="41">
        <v>723.18</v>
      </c>
      <c r="D2871" s="5"/>
    </row>
    <row r="2872" spans="1:4" ht="36">
      <c r="A2872" s="8"/>
      <c r="B2872" s="47" t="s">
        <v>173</v>
      </c>
      <c r="C2872" s="41">
        <v>3145.47</v>
      </c>
      <c r="D2872" s="5"/>
    </row>
    <row r="2873" spans="1:4" ht="24">
      <c r="A2873" s="8"/>
      <c r="B2873" s="47" t="s">
        <v>174</v>
      </c>
      <c r="C2873" s="41">
        <v>102438</v>
      </c>
      <c r="D2873" s="5"/>
    </row>
    <row r="2874" spans="1:4" ht="12.75">
      <c r="A2874" s="8"/>
      <c r="B2874" s="47" t="s">
        <v>175</v>
      </c>
      <c r="C2874" s="41">
        <v>890.23</v>
      </c>
      <c r="D2874" s="5"/>
    </row>
    <row r="2875" spans="1:3" ht="18">
      <c r="A2875" s="8"/>
      <c r="B2875" s="73" t="s">
        <v>683</v>
      </c>
      <c r="C2875" s="74">
        <v>43962.69</v>
      </c>
    </row>
    <row r="2876" spans="1:4" ht="18">
      <c r="A2876" s="8"/>
      <c r="B2876" s="73" t="s">
        <v>167</v>
      </c>
      <c r="C2876" s="59">
        <f>C2857-C2861</f>
        <v>-80289.81999999999</v>
      </c>
      <c r="D2876" s="75"/>
    </row>
    <row r="2877" spans="1:3" ht="18.75">
      <c r="A2877" s="8"/>
      <c r="B2877" s="76" t="s">
        <v>652</v>
      </c>
      <c r="C2877" s="74">
        <f>SUM(C2875:C2876)</f>
        <v>-36327.12999999999</v>
      </c>
    </row>
    <row r="2878" ht="54" customHeight="1"/>
    <row r="2879" spans="2:4" ht="15">
      <c r="B2879" s="196" t="s">
        <v>609</v>
      </c>
      <c r="C2879" s="196"/>
      <c r="D2879" s="196"/>
    </row>
    <row r="2880" spans="2:4" ht="15">
      <c r="B2880" s="197" t="s">
        <v>610</v>
      </c>
      <c r="C2880" s="197"/>
      <c r="D2880" s="1"/>
    </row>
    <row r="2881" spans="2:4" ht="18.75">
      <c r="B2881" s="198" t="s">
        <v>176</v>
      </c>
      <c r="C2881" s="198"/>
      <c r="D2881" s="198"/>
    </row>
    <row r="2882" spans="2:4" ht="15.75">
      <c r="B2882" s="199" t="s">
        <v>612</v>
      </c>
      <c r="C2882" s="199"/>
      <c r="D2882" s="199"/>
    </row>
    <row r="2883" spans="2:4" ht="12.75">
      <c r="B2883" s="3"/>
      <c r="C2883" s="4"/>
      <c r="D2883" s="5"/>
    </row>
    <row r="2884" spans="2:4" ht="14.25">
      <c r="B2884" s="6"/>
      <c r="C2884" s="7"/>
      <c r="D2884" s="5"/>
    </row>
    <row r="2885" spans="1:4" ht="15">
      <c r="A2885" s="8"/>
      <c r="B2885" s="9" t="s">
        <v>613</v>
      </c>
      <c r="C2885" s="10">
        <v>528.69</v>
      </c>
      <c r="D2885" s="5"/>
    </row>
    <row r="2886" spans="1:4" ht="12.75">
      <c r="A2886" s="8"/>
      <c r="B2886" s="11" t="s">
        <v>614</v>
      </c>
      <c r="C2886" s="12">
        <v>3.74</v>
      </c>
      <c r="D2886" s="13"/>
    </row>
    <row r="2887" spans="1:4" ht="12.75">
      <c r="A2887" s="8"/>
      <c r="B2887" s="14" t="s">
        <v>615</v>
      </c>
      <c r="C2887" s="12">
        <v>6.42</v>
      </c>
      <c r="D2887" s="13"/>
    </row>
    <row r="2888" spans="1:4" ht="18.75">
      <c r="A2888" s="8"/>
      <c r="B2888" s="15" t="s">
        <v>616</v>
      </c>
      <c r="C2888" s="16">
        <f>824.53+1412.6</f>
        <v>2237.13</v>
      </c>
      <c r="D2888" s="13"/>
    </row>
    <row r="2889" spans="1:4" ht="18.75">
      <c r="A2889" s="17">
        <v>1</v>
      </c>
      <c r="B2889" s="18" t="s">
        <v>617</v>
      </c>
      <c r="C2889" s="16">
        <f>C2890+C2891</f>
        <v>58626.27</v>
      </c>
      <c r="D2889" s="5"/>
    </row>
    <row r="2890" spans="1:4" ht="15">
      <c r="A2890" s="17"/>
      <c r="B2890" s="19" t="s">
        <v>618</v>
      </c>
      <c r="C2890" s="20">
        <f>20816.14+35716.28</f>
        <v>56532.42</v>
      </c>
      <c r="D2890" s="5"/>
    </row>
    <row r="2891" spans="1:4" ht="15">
      <c r="A2891" s="17"/>
      <c r="B2891" s="19" t="s">
        <v>807</v>
      </c>
      <c r="C2891" s="20">
        <v>2093.85</v>
      </c>
      <c r="D2891" s="5"/>
    </row>
    <row r="2892" spans="1:4" ht="18">
      <c r="A2892" s="17">
        <v>2</v>
      </c>
      <c r="B2892" s="18" t="s">
        <v>620</v>
      </c>
      <c r="C2892" s="21">
        <f>C2893+C2894</f>
        <v>57348.229999999996</v>
      </c>
      <c r="D2892" s="5"/>
    </row>
    <row r="2893" spans="1:4" ht="15.75">
      <c r="A2893" s="17"/>
      <c r="B2893" s="102" t="s">
        <v>743</v>
      </c>
      <c r="C2893" s="23">
        <f>20478.34+35133.94</f>
        <v>55612.28</v>
      </c>
      <c r="D2893" s="5"/>
    </row>
    <row r="2894" spans="1:4" ht="15.75">
      <c r="A2894" s="17"/>
      <c r="B2894" s="102" t="s">
        <v>108</v>
      </c>
      <c r="C2894" s="23">
        <v>1735.95</v>
      </c>
      <c r="D2894" s="5"/>
    </row>
    <row r="2895" spans="1:4" ht="36">
      <c r="A2895" s="17">
        <v>5</v>
      </c>
      <c r="B2895" s="24" t="s">
        <v>625</v>
      </c>
      <c r="C2895" s="85">
        <f>C2896+C2898</f>
        <v>99630.87299999999</v>
      </c>
      <c r="D2895" s="5"/>
    </row>
    <row r="2896" spans="1:4" ht="18.75">
      <c r="A2896" s="17"/>
      <c r="B2896" s="26" t="s">
        <v>626</v>
      </c>
      <c r="C2896" s="27">
        <f>C2897</f>
        <v>2093.85</v>
      </c>
      <c r="D2896" s="5"/>
    </row>
    <row r="2897" spans="1:4" ht="15">
      <c r="A2897" s="17" t="s">
        <v>627</v>
      </c>
      <c r="B2897" s="28" t="s">
        <v>628</v>
      </c>
      <c r="C2897" s="29">
        <v>2093.85</v>
      </c>
      <c r="D2897" s="5"/>
    </row>
    <row r="2898" spans="1:4" ht="18.75">
      <c r="A2898" s="17"/>
      <c r="B2898" s="26" t="s">
        <v>630</v>
      </c>
      <c r="C2898" s="27">
        <f>C2899+C2900+C2901+C2902+C2903+C2904+C2905+C2906+C2907+C2908+C2909</f>
        <v>97537.02299999999</v>
      </c>
      <c r="D2898" s="5"/>
    </row>
    <row r="2899" spans="1:4" ht="25.5">
      <c r="A2899" s="30" t="s">
        <v>631</v>
      </c>
      <c r="B2899" s="31" t="s">
        <v>632</v>
      </c>
      <c r="C2899" s="32">
        <v>3181.73</v>
      </c>
      <c r="D2899" s="5"/>
    </row>
    <row r="2900" spans="1:4" ht="12.75">
      <c r="A2900" s="17" t="s">
        <v>633</v>
      </c>
      <c r="B2900" s="33" t="s">
        <v>634</v>
      </c>
      <c r="C2900" s="34">
        <v>37.24</v>
      </c>
      <c r="D2900" s="5"/>
    </row>
    <row r="2901" spans="1:4" ht="12.75">
      <c r="A2901" s="17" t="s">
        <v>635</v>
      </c>
      <c r="B2901" s="35" t="s">
        <v>636</v>
      </c>
      <c r="C2901" s="34"/>
      <c r="D2901" s="5"/>
    </row>
    <row r="2902" spans="1:4" ht="12.75">
      <c r="A2902" s="17"/>
      <c r="B2902" s="37" t="s">
        <v>177</v>
      </c>
      <c r="C2902" s="78">
        <v>333.33</v>
      </c>
      <c r="D2902" s="5"/>
    </row>
    <row r="2903" spans="1:4" ht="12.75">
      <c r="A2903" s="17"/>
      <c r="B2903" s="36" t="s">
        <v>178</v>
      </c>
      <c r="C2903" s="78">
        <f>1600/2</f>
        <v>800</v>
      </c>
      <c r="D2903" s="5"/>
    </row>
    <row r="2904" spans="1:4" ht="12.75">
      <c r="A2904" s="17" t="s">
        <v>637</v>
      </c>
      <c r="B2904" s="35" t="s">
        <v>640</v>
      </c>
      <c r="C2904" s="34">
        <v>1481.49</v>
      </c>
      <c r="D2904" s="5"/>
    </row>
    <row r="2905" spans="1:4" ht="12.75">
      <c r="A2905" s="30" t="s">
        <v>639</v>
      </c>
      <c r="B2905" s="33" t="s">
        <v>179</v>
      </c>
      <c r="C2905" s="34">
        <f>1.9*230*12</f>
        <v>5244</v>
      </c>
      <c r="D2905" s="5"/>
    </row>
    <row r="2906" spans="1:3" ht="25.5">
      <c r="A2906" s="30"/>
      <c r="B2906" s="108" t="s">
        <v>180</v>
      </c>
      <c r="C2906" s="78">
        <v>400</v>
      </c>
    </row>
    <row r="2907" spans="1:3" ht="12.75">
      <c r="A2907" s="30"/>
      <c r="B2907" s="160" t="s">
        <v>181</v>
      </c>
      <c r="C2907" s="78">
        <v>472.47</v>
      </c>
    </row>
    <row r="2908" spans="1:3" ht="12.75">
      <c r="A2908" s="30" t="s">
        <v>641</v>
      </c>
      <c r="B2908" s="33" t="s">
        <v>646</v>
      </c>
      <c r="C2908" s="34">
        <f>C2890*0.15</f>
        <v>8479.863</v>
      </c>
    </row>
    <row r="2909" spans="1:3" ht="12.75">
      <c r="A2909" s="17" t="s">
        <v>643</v>
      </c>
      <c r="B2909" s="33" t="s">
        <v>648</v>
      </c>
      <c r="C2909" s="34">
        <f>C2911+C2912</f>
        <v>77106.9</v>
      </c>
    </row>
    <row r="2910" spans="1:3" ht="12.75">
      <c r="A2910" s="17"/>
      <c r="B2910" s="39" t="s">
        <v>649</v>
      </c>
      <c r="C2910" s="34"/>
    </row>
    <row r="2911" spans="1:3" ht="12.75">
      <c r="A2911" s="17"/>
      <c r="B2911" s="47" t="s">
        <v>182</v>
      </c>
      <c r="C2911" s="41">
        <v>63624.9</v>
      </c>
    </row>
    <row r="2912" spans="1:4" ht="12.75">
      <c r="A2912" s="8"/>
      <c r="B2912" s="47" t="s">
        <v>183</v>
      </c>
      <c r="C2912" s="41">
        <v>13482</v>
      </c>
      <c r="D2912" s="43"/>
    </row>
    <row r="2913" spans="1:4" ht="30">
      <c r="A2913" s="8"/>
      <c r="B2913" s="45" t="s">
        <v>184</v>
      </c>
      <c r="C2913" s="46">
        <f>C2892-C2895</f>
        <v>-42282.643</v>
      </c>
      <c r="D2913" s="43"/>
    </row>
    <row r="2914" spans="1:4" ht="15.75">
      <c r="A2914" s="8"/>
      <c r="B2914" s="45" t="s">
        <v>651</v>
      </c>
      <c r="C2914" s="46">
        <v>55198.96</v>
      </c>
      <c r="D2914" s="43"/>
    </row>
    <row r="2915" spans="1:4" ht="15.75">
      <c r="A2915" s="8"/>
      <c r="B2915" s="45" t="s">
        <v>487</v>
      </c>
      <c r="C2915" s="46">
        <f>SUM(C2913:C2914)</f>
        <v>12916.317000000003</v>
      </c>
      <c r="D2915" s="43"/>
    </row>
    <row r="2916" spans="1:4" ht="12.75">
      <c r="A2916" s="8"/>
      <c r="B2916" s="47"/>
      <c r="C2916" s="41"/>
      <c r="D2916" s="43"/>
    </row>
    <row r="2917" spans="1:3" ht="15.75">
      <c r="A2917" s="8"/>
      <c r="B2917" s="45" t="s">
        <v>653</v>
      </c>
      <c r="C2917" s="46">
        <f>C2892-(C2888+C2889)</f>
        <v>-3515.1699999999983</v>
      </c>
    </row>
    <row r="2918" spans="1:3" ht="15.75">
      <c r="A2918" s="8"/>
      <c r="B2918" s="45" t="s">
        <v>654</v>
      </c>
      <c r="C2918" s="46">
        <v>-3157.27</v>
      </c>
    </row>
    <row r="2919" spans="1:3" ht="15.75">
      <c r="A2919" s="8"/>
      <c r="B2919" s="45" t="s">
        <v>655</v>
      </c>
      <c r="C2919" s="46">
        <v>-357.9</v>
      </c>
    </row>
    <row r="2920" ht="53.25" customHeight="1"/>
    <row r="2921" spans="2:4" ht="15">
      <c r="B2921" s="196" t="s">
        <v>609</v>
      </c>
      <c r="C2921" s="196"/>
      <c r="D2921" s="196"/>
    </row>
    <row r="2922" spans="2:4" ht="15">
      <c r="B2922" s="197" t="s">
        <v>610</v>
      </c>
      <c r="C2922" s="197"/>
      <c r="D2922" s="1"/>
    </row>
    <row r="2923" spans="2:4" ht="18.75">
      <c r="B2923" s="198" t="s">
        <v>185</v>
      </c>
      <c r="C2923" s="198"/>
      <c r="D2923" s="198"/>
    </row>
    <row r="2924" spans="2:4" ht="15.75">
      <c r="B2924" s="199" t="s">
        <v>612</v>
      </c>
      <c r="C2924" s="199"/>
      <c r="D2924" s="199"/>
    </row>
    <row r="2925" spans="2:4" ht="12.75">
      <c r="B2925" s="3"/>
      <c r="C2925" s="4"/>
      <c r="D2925" s="5"/>
    </row>
    <row r="2926" spans="2:4" ht="14.25">
      <c r="B2926" s="6"/>
      <c r="C2926" s="7"/>
      <c r="D2926" s="5"/>
    </row>
    <row r="2927" spans="1:4" ht="15.75">
      <c r="A2927" s="8"/>
      <c r="B2927" s="51" t="s">
        <v>613</v>
      </c>
      <c r="C2927" s="52">
        <v>521.13</v>
      </c>
      <c r="D2927" s="5"/>
    </row>
    <row r="2928" spans="1:4" ht="15">
      <c r="A2928" s="8"/>
      <c r="B2928" s="53" t="s">
        <v>667</v>
      </c>
      <c r="C2928" s="54">
        <v>3.2</v>
      </c>
      <c r="D2928" s="13"/>
    </row>
    <row r="2929" spans="1:4" ht="15">
      <c r="A2929" s="8"/>
      <c r="B2929" s="55" t="s">
        <v>615</v>
      </c>
      <c r="C2929" s="56">
        <v>5.49</v>
      </c>
      <c r="D2929" s="13"/>
    </row>
    <row r="2930" spans="1:4" ht="18.75">
      <c r="A2930" s="8"/>
      <c r="B2930" s="15" t="s">
        <v>616</v>
      </c>
      <c r="C2930" s="57">
        <f>2219.17+3801.97</f>
        <v>6021.139999999999</v>
      </c>
      <c r="D2930" s="13"/>
    </row>
    <row r="2931" spans="1:4" ht="18">
      <c r="A2931" s="17">
        <v>1</v>
      </c>
      <c r="B2931" s="18" t="s">
        <v>668</v>
      </c>
      <c r="C2931" s="21">
        <f>20003.4+34318.2</f>
        <v>54321.6</v>
      </c>
      <c r="D2931" s="5"/>
    </row>
    <row r="2932" spans="1:4" ht="18">
      <c r="A2932" s="17">
        <v>2</v>
      </c>
      <c r="B2932" s="58" t="s">
        <v>669</v>
      </c>
      <c r="C2932" s="59">
        <f>(C2930+C2931)-C2934</f>
        <v>50826.57</v>
      </c>
      <c r="D2932" s="5"/>
    </row>
    <row r="2933" spans="1:4" ht="15">
      <c r="A2933" s="17">
        <v>3</v>
      </c>
      <c r="B2933" s="19" t="s">
        <v>670</v>
      </c>
      <c r="C2933" s="20"/>
      <c r="D2933" s="5"/>
    </row>
    <row r="2934" spans="1:4" ht="15">
      <c r="A2934" s="17"/>
      <c r="B2934" s="60" t="s">
        <v>671</v>
      </c>
      <c r="C2934" s="20">
        <f>3505.02+6011.15</f>
        <v>9516.17</v>
      </c>
      <c r="D2934" s="5"/>
    </row>
    <row r="2935" spans="1:4" ht="15">
      <c r="A2935" s="61"/>
      <c r="B2935" s="62"/>
      <c r="C2935" s="63"/>
      <c r="D2935" s="5"/>
    </row>
    <row r="2936" spans="1:4" ht="31.5">
      <c r="A2936" s="17">
        <v>4</v>
      </c>
      <c r="B2936" s="64" t="s">
        <v>625</v>
      </c>
      <c r="C2936" s="27">
        <f>C2937+C2938+C2939+C2940+C2941+C2942</f>
        <v>182572.08</v>
      </c>
      <c r="D2936" s="5"/>
    </row>
    <row r="2937" spans="1:4" ht="26.25">
      <c r="A2937" s="30" t="s">
        <v>672</v>
      </c>
      <c r="B2937" s="31" t="s">
        <v>632</v>
      </c>
      <c r="C2937" s="66">
        <v>1431.84</v>
      </c>
      <c r="D2937" s="5"/>
    </row>
    <row r="2938" spans="1:4" ht="15.75">
      <c r="A2938" s="17" t="s">
        <v>697</v>
      </c>
      <c r="B2938" s="83" t="s">
        <v>9</v>
      </c>
      <c r="C2938" s="23">
        <v>2357.55</v>
      </c>
      <c r="D2938" s="5"/>
    </row>
    <row r="2939" spans="1:4" ht="15.75">
      <c r="A2939" s="17" t="s">
        <v>673</v>
      </c>
      <c r="B2939" s="79" t="s">
        <v>699</v>
      </c>
      <c r="C2939" s="23">
        <v>36.96</v>
      </c>
      <c r="D2939" s="5"/>
    </row>
    <row r="2940" spans="1:4" ht="15.75">
      <c r="A2940" s="17" t="s">
        <v>676</v>
      </c>
      <c r="B2940" s="81" t="s">
        <v>701</v>
      </c>
      <c r="C2940" s="69">
        <f>2.4*230*12</f>
        <v>6624</v>
      </c>
      <c r="D2940" s="5"/>
    </row>
    <row r="2941" spans="1:4" ht="15.75">
      <c r="A2941" s="17" t="s">
        <v>31</v>
      </c>
      <c r="B2941" s="82" t="s">
        <v>703</v>
      </c>
      <c r="C2941" s="71">
        <f>C2931*0.15</f>
        <v>8148.24</v>
      </c>
      <c r="D2941" s="5"/>
    </row>
    <row r="2942" spans="1:4" ht="15.75">
      <c r="A2942" s="213" t="s">
        <v>33</v>
      </c>
      <c r="B2942" s="79" t="s">
        <v>186</v>
      </c>
      <c r="C2942" s="23">
        <f>C2944+C2945</f>
        <v>163973.49</v>
      </c>
      <c r="D2942" s="5"/>
    </row>
    <row r="2943" spans="1:4" ht="15.75">
      <c r="A2943" s="213"/>
      <c r="B2943" s="82" t="s">
        <v>187</v>
      </c>
      <c r="C2943" s="23"/>
      <c r="D2943" s="5"/>
    </row>
    <row r="2944" spans="1:4" ht="24">
      <c r="A2944" s="8"/>
      <c r="B2944" s="47" t="s">
        <v>188</v>
      </c>
      <c r="C2944" s="41">
        <v>8059.49</v>
      </c>
      <c r="D2944" s="5"/>
    </row>
    <row r="2945" spans="1:4" ht="36">
      <c r="A2945" s="8"/>
      <c r="B2945" s="47" t="s">
        <v>189</v>
      </c>
      <c r="C2945" s="41">
        <v>155914</v>
      </c>
      <c r="D2945" s="5"/>
    </row>
    <row r="2946" spans="1:3" ht="18">
      <c r="A2946" s="8"/>
      <c r="B2946" s="83" t="s">
        <v>190</v>
      </c>
      <c r="C2946" s="74">
        <v>73693.84</v>
      </c>
    </row>
    <row r="2947" spans="1:4" ht="30">
      <c r="A2947" s="8"/>
      <c r="B2947" s="80" t="s">
        <v>191</v>
      </c>
      <c r="C2947" s="59">
        <f>C2932-C2936</f>
        <v>-131745.50999999998</v>
      </c>
      <c r="D2947" s="75"/>
    </row>
    <row r="2948" spans="1:3" ht="18">
      <c r="A2948" s="8"/>
      <c r="B2948" s="60" t="s">
        <v>652</v>
      </c>
      <c r="C2948" s="74">
        <f>SUM(C2946:C2947)</f>
        <v>-58051.669999999984</v>
      </c>
    </row>
    <row r="2949" ht="54" customHeight="1"/>
    <row r="2950" spans="2:4" ht="15">
      <c r="B2950" s="196" t="s">
        <v>609</v>
      </c>
      <c r="C2950" s="196"/>
      <c r="D2950" s="196"/>
    </row>
    <row r="2951" spans="2:4" ht="15">
      <c r="B2951" s="197" t="s">
        <v>704</v>
      </c>
      <c r="C2951" s="197"/>
      <c r="D2951" s="1"/>
    </row>
    <row r="2952" spans="2:4" ht="18.75">
      <c r="B2952" s="198" t="s">
        <v>192</v>
      </c>
      <c r="C2952" s="198"/>
      <c r="D2952" s="198"/>
    </row>
    <row r="2953" spans="2:4" ht="15.75">
      <c r="B2953" s="199" t="s">
        <v>612</v>
      </c>
      <c r="C2953" s="199"/>
      <c r="D2953" s="199"/>
    </row>
    <row r="2954" spans="2:4" ht="14.25">
      <c r="B2954" s="6"/>
      <c r="C2954" s="7"/>
      <c r="D2954" s="5"/>
    </row>
    <row r="2955" spans="1:4" ht="15">
      <c r="A2955" s="8"/>
      <c r="B2955" s="9" t="s">
        <v>613</v>
      </c>
      <c r="C2955" s="10">
        <v>538.47</v>
      </c>
      <c r="D2955" s="5"/>
    </row>
    <row r="2956" spans="1:4" ht="12.75">
      <c r="A2956" s="8"/>
      <c r="B2956" s="11" t="s">
        <v>614</v>
      </c>
      <c r="C2956" s="12">
        <v>3.2</v>
      </c>
      <c r="D2956" s="13"/>
    </row>
    <row r="2957" spans="1:4" ht="12.75">
      <c r="A2957" s="8"/>
      <c r="B2957" s="14" t="s">
        <v>615</v>
      </c>
      <c r="C2957" s="12">
        <v>5.49</v>
      </c>
      <c r="D2957" s="13"/>
    </row>
    <row r="2958" spans="1:4" ht="36">
      <c r="A2958" s="17"/>
      <c r="B2958" s="215" t="s">
        <v>193</v>
      </c>
      <c r="C2958" s="59">
        <f>6744.09+11547.88+2955.64</f>
        <v>21247.61</v>
      </c>
      <c r="D2958" s="5"/>
    </row>
    <row r="2959" spans="1:4" ht="18">
      <c r="A2959" s="17">
        <v>1</v>
      </c>
      <c r="B2959" s="18" t="s">
        <v>668</v>
      </c>
      <c r="C2959" s="21">
        <f>C2960+C2961</f>
        <v>60799.36</v>
      </c>
      <c r="D2959" s="5"/>
    </row>
    <row r="2960" spans="1:4" ht="15">
      <c r="A2960" s="17"/>
      <c r="B2960" s="19" t="s">
        <v>686</v>
      </c>
      <c r="C2960" s="20">
        <f>20669.34+35461.02</f>
        <v>56130.36</v>
      </c>
      <c r="D2960" s="5"/>
    </row>
    <row r="2961" spans="1:4" ht="15">
      <c r="A2961" s="17"/>
      <c r="B2961" s="19" t="s">
        <v>194</v>
      </c>
      <c r="C2961" s="20">
        <v>4669</v>
      </c>
      <c r="D2961" s="5"/>
    </row>
    <row r="2962" spans="1:4" ht="18">
      <c r="A2962" s="17" t="s">
        <v>414</v>
      </c>
      <c r="B2962" s="58" t="s">
        <v>669</v>
      </c>
      <c r="C2962" s="59">
        <f>C2963+C2964</f>
        <v>68916.22</v>
      </c>
      <c r="D2962" s="5"/>
    </row>
    <row r="2963" spans="1:4" ht="15.75">
      <c r="A2963" s="17"/>
      <c r="B2963" s="102" t="s">
        <v>743</v>
      </c>
      <c r="C2963" s="99">
        <f>23168.94+39733.5</f>
        <v>62902.44</v>
      </c>
      <c r="D2963" s="5"/>
    </row>
    <row r="2964" spans="1:4" ht="15.75">
      <c r="A2964" s="17"/>
      <c r="B2964" s="102" t="s">
        <v>195</v>
      </c>
      <c r="C2964" s="99">
        <v>6013.78</v>
      </c>
      <c r="D2964" s="5"/>
    </row>
    <row r="2965" spans="1:4" ht="12.75">
      <c r="A2965" s="17"/>
      <c r="C2965" s="8"/>
      <c r="D2965" s="5"/>
    </row>
    <row r="2966" spans="1:4" ht="31.5">
      <c r="A2966" s="17">
        <v>5</v>
      </c>
      <c r="B2966" s="216" t="s">
        <v>625</v>
      </c>
      <c r="C2966" s="85">
        <f>C2967+C2968+C2969+C2970+C2971+C2972+C2973+C2974</f>
        <v>115524.034</v>
      </c>
      <c r="D2966" s="5"/>
    </row>
    <row r="2967" spans="1:4" ht="25.5">
      <c r="A2967" s="30" t="s">
        <v>631</v>
      </c>
      <c r="B2967" s="31" t="s">
        <v>632</v>
      </c>
      <c r="C2967" s="32">
        <v>4608.63</v>
      </c>
      <c r="D2967" s="5"/>
    </row>
    <row r="2968" spans="1:4" ht="12.75">
      <c r="A2968" s="17" t="s">
        <v>633</v>
      </c>
      <c r="B2968" s="159" t="s">
        <v>196</v>
      </c>
      <c r="C2968" s="34">
        <v>38.37</v>
      </c>
      <c r="D2968" s="5"/>
    </row>
    <row r="2969" spans="1:4" ht="12.75">
      <c r="A2969" s="17" t="s">
        <v>635</v>
      </c>
      <c r="B2969" s="160" t="s">
        <v>197</v>
      </c>
      <c r="C2969" s="34">
        <v>1600</v>
      </c>
      <c r="D2969" s="5"/>
    </row>
    <row r="2970" spans="1:4" ht="12.75">
      <c r="A2970" s="17" t="s">
        <v>637</v>
      </c>
      <c r="B2970" s="160" t="s">
        <v>427</v>
      </c>
      <c r="C2970" s="91">
        <f>793*2.79</f>
        <v>2212.4700000000003</v>
      </c>
      <c r="D2970" s="5"/>
    </row>
    <row r="2971" spans="1:4" ht="12.75">
      <c r="A2971" s="30" t="s">
        <v>639</v>
      </c>
      <c r="B2971" s="159" t="s">
        <v>198</v>
      </c>
      <c r="C2971" s="34">
        <f>2.9*230*5</f>
        <v>3335</v>
      </c>
      <c r="D2971" s="5"/>
    </row>
    <row r="2972" spans="1:4" ht="12.75">
      <c r="A2972" s="30" t="s">
        <v>641</v>
      </c>
      <c r="B2972" s="182" t="s">
        <v>199</v>
      </c>
      <c r="C2972" s="34">
        <v>550</v>
      </c>
      <c r="D2972" s="5"/>
    </row>
    <row r="2973" spans="1:4" ht="12.75">
      <c r="A2973" s="8" t="s">
        <v>643</v>
      </c>
      <c r="B2973" s="159" t="s">
        <v>429</v>
      </c>
      <c r="C2973" s="91">
        <f>C2960*0.15</f>
        <v>8419.554</v>
      </c>
      <c r="D2973" s="5"/>
    </row>
    <row r="2974" spans="1:4" ht="12.75">
      <c r="A2974" t="s">
        <v>645</v>
      </c>
      <c r="B2974" s="159" t="s">
        <v>430</v>
      </c>
      <c r="C2974" s="217">
        <v>94760.01</v>
      </c>
      <c r="D2974" s="5"/>
    </row>
    <row r="2975" spans="2:4" ht="12.75">
      <c r="B2975" s="159"/>
      <c r="C2975" s="217"/>
      <c r="D2975" s="5"/>
    </row>
    <row r="2976" spans="1:4" ht="15.75">
      <c r="A2976" s="8"/>
      <c r="B2976" s="218" t="s">
        <v>200</v>
      </c>
      <c r="C2976" s="46">
        <f>C2962-C2966</f>
        <v>-46607.814</v>
      </c>
      <c r="D2976" s="5"/>
    </row>
    <row r="2977" spans="1:3" ht="15.75">
      <c r="A2977" s="8"/>
      <c r="B2977" s="218" t="s">
        <v>201</v>
      </c>
      <c r="C2977" s="178">
        <v>34990.11</v>
      </c>
    </row>
    <row r="2978" spans="1:3" ht="15.75">
      <c r="A2978" s="8"/>
      <c r="B2978" s="219" t="s">
        <v>202</v>
      </c>
      <c r="C2978" s="99">
        <f>SUM(C2976:C2977)</f>
        <v>-11617.703999999998</v>
      </c>
    </row>
    <row r="2979" spans="1:3" ht="12.75">
      <c r="A2979" s="8"/>
      <c r="C2979" s="8"/>
    </row>
    <row r="2980" spans="1:3" ht="15.75">
      <c r="A2980" s="8"/>
      <c r="B2980" s="45" t="s">
        <v>653</v>
      </c>
      <c r="C2980" s="46">
        <f>C2962-(C2958+C2959)</f>
        <v>-13130.75</v>
      </c>
    </row>
    <row r="2981" spans="1:3" ht="15.75">
      <c r="A2981" s="8"/>
      <c r="B2981" s="45" t="s">
        <v>654</v>
      </c>
      <c r="C2981" s="46">
        <v>-11519.89</v>
      </c>
    </row>
    <row r="2982" spans="1:3" ht="15.75">
      <c r="A2982" s="8"/>
      <c r="B2982" s="45" t="s">
        <v>203</v>
      </c>
      <c r="C2982" s="46">
        <v>-1610.86</v>
      </c>
    </row>
    <row r="2983" ht="56.25" customHeight="1"/>
    <row r="2984" spans="2:4" ht="15">
      <c r="B2984" s="196" t="s">
        <v>609</v>
      </c>
      <c r="C2984" s="196"/>
      <c r="D2984" s="196"/>
    </row>
    <row r="2985" spans="2:4" ht="15">
      <c r="B2985" s="197" t="s">
        <v>610</v>
      </c>
      <c r="C2985" s="197"/>
      <c r="D2985" s="1"/>
    </row>
    <row r="2986" spans="2:4" ht="18.75">
      <c r="B2986" s="198" t="s">
        <v>204</v>
      </c>
      <c r="C2986" s="198"/>
      <c r="D2986" s="198"/>
    </row>
    <row r="2987" spans="2:4" ht="15.75">
      <c r="B2987" s="199" t="s">
        <v>612</v>
      </c>
      <c r="C2987" s="199"/>
      <c r="D2987" s="199"/>
    </row>
    <row r="2988" spans="2:4" ht="12.75">
      <c r="B2988" s="3"/>
      <c r="C2988" s="4"/>
      <c r="D2988" s="5"/>
    </row>
    <row r="2989" spans="2:4" ht="14.25">
      <c r="B2989" s="6"/>
      <c r="C2989" s="7"/>
      <c r="D2989" s="5"/>
    </row>
    <row r="2990" spans="1:4" ht="15.75">
      <c r="A2990" s="8"/>
      <c r="B2990" s="51" t="s">
        <v>613</v>
      </c>
      <c r="C2990" s="52">
        <v>386.7</v>
      </c>
      <c r="D2990" s="5"/>
    </row>
    <row r="2991" spans="1:4" ht="15">
      <c r="A2991" s="8"/>
      <c r="B2991" s="53" t="s">
        <v>667</v>
      </c>
      <c r="C2991" s="54">
        <v>3.2</v>
      </c>
      <c r="D2991" s="13"/>
    </row>
    <row r="2992" spans="1:4" ht="15">
      <c r="A2992" s="8"/>
      <c r="B2992" s="55" t="s">
        <v>615</v>
      </c>
      <c r="C2992" s="56">
        <v>5.49</v>
      </c>
      <c r="D2992" s="13"/>
    </row>
    <row r="2993" spans="1:4" ht="18.75">
      <c r="A2993" s="8"/>
      <c r="B2993" s="19" t="s">
        <v>205</v>
      </c>
      <c r="C2993" s="57">
        <f>2690.93+4609.57</f>
        <v>7300.5</v>
      </c>
      <c r="D2993" s="13"/>
    </row>
    <row r="2994" spans="1:4" ht="18">
      <c r="A2994" s="17">
        <v>1</v>
      </c>
      <c r="B2994" s="179" t="s">
        <v>668</v>
      </c>
      <c r="C2994" s="21">
        <f>14895.72+25555.44</f>
        <v>40451.159999999996</v>
      </c>
      <c r="D2994" s="5"/>
    </row>
    <row r="2995" spans="1:4" ht="18">
      <c r="A2995" s="17">
        <v>2</v>
      </c>
      <c r="B2995" s="51" t="s">
        <v>206</v>
      </c>
      <c r="C2995" s="59">
        <f>(C2993+C2994)-C2997</f>
        <v>31393.279999999995</v>
      </c>
      <c r="D2995" s="5"/>
    </row>
    <row r="2996" spans="1:4" ht="15">
      <c r="A2996" s="17">
        <v>3</v>
      </c>
      <c r="B2996" s="19" t="s">
        <v>670</v>
      </c>
      <c r="C2996" s="20"/>
      <c r="D2996" s="5"/>
    </row>
    <row r="2997" spans="1:4" ht="15">
      <c r="A2997" s="17" t="s">
        <v>417</v>
      </c>
      <c r="B2997" s="60" t="s">
        <v>671</v>
      </c>
      <c r="C2997" s="20">
        <f>6025.72+10332.66</f>
        <v>16358.380000000001</v>
      </c>
      <c r="D2997" s="5"/>
    </row>
    <row r="2998" spans="1:4" ht="15">
      <c r="A2998" s="17" t="s">
        <v>419</v>
      </c>
      <c r="B2998" s="60" t="s">
        <v>207</v>
      </c>
      <c r="C2998" s="20">
        <v>48682.53</v>
      </c>
      <c r="D2998" s="5"/>
    </row>
    <row r="2999" spans="1:4" ht="15">
      <c r="A2999" s="61"/>
      <c r="B2999" s="62"/>
      <c r="C2999" s="63"/>
      <c r="D2999" s="5"/>
    </row>
    <row r="3000" spans="1:4" ht="31.5">
      <c r="A3000" s="17">
        <v>5</v>
      </c>
      <c r="B3000" s="64" t="s">
        <v>625</v>
      </c>
      <c r="C3000" s="27">
        <f>C3001+C3002+C3003+C3004+C3005+C3006</f>
        <v>22457.843999999997</v>
      </c>
      <c r="D3000" s="5"/>
    </row>
    <row r="3001" spans="1:4" ht="26.25">
      <c r="A3001" s="30" t="s">
        <v>631</v>
      </c>
      <c r="B3001" s="31" t="s">
        <v>632</v>
      </c>
      <c r="C3001" s="66">
        <v>834.04</v>
      </c>
      <c r="D3001" s="5"/>
    </row>
    <row r="3002" spans="1:4" ht="15.75">
      <c r="A3002" s="17" t="s">
        <v>633</v>
      </c>
      <c r="B3002" s="83" t="s">
        <v>9</v>
      </c>
      <c r="C3002" s="23">
        <v>1434.06</v>
      </c>
      <c r="D3002" s="5"/>
    </row>
    <row r="3003" spans="1:4" ht="15.75">
      <c r="A3003" s="17" t="s">
        <v>635</v>
      </c>
      <c r="B3003" s="79" t="s">
        <v>699</v>
      </c>
      <c r="C3003" s="23">
        <v>27.47</v>
      </c>
      <c r="D3003" s="5"/>
    </row>
    <row r="3004" spans="1:4" ht="15.75">
      <c r="A3004" s="17" t="s">
        <v>637</v>
      </c>
      <c r="B3004" s="81" t="s">
        <v>701</v>
      </c>
      <c r="C3004" s="69">
        <f>2.4*230*12</f>
        <v>6624</v>
      </c>
      <c r="D3004" s="5"/>
    </row>
    <row r="3005" spans="1:4" ht="15.75">
      <c r="A3005" s="17" t="s">
        <v>639</v>
      </c>
      <c r="B3005" s="82" t="s">
        <v>703</v>
      </c>
      <c r="C3005" s="71">
        <f>C2994*0.15</f>
        <v>6067.673999999999</v>
      </c>
      <c r="D3005" s="5"/>
    </row>
    <row r="3006" spans="1:4" ht="15.75">
      <c r="A3006" s="213" t="s">
        <v>641</v>
      </c>
      <c r="B3006" s="79" t="s">
        <v>186</v>
      </c>
      <c r="C3006" s="23">
        <v>7470.6</v>
      </c>
      <c r="D3006" s="5"/>
    </row>
    <row r="3007" spans="1:4" ht="15.75">
      <c r="A3007" s="213"/>
      <c r="B3007" s="79"/>
      <c r="C3007" s="23"/>
      <c r="D3007" s="5"/>
    </row>
    <row r="3008" spans="1:3" ht="18">
      <c r="A3008" s="8"/>
      <c r="B3008" s="83" t="s">
        <v>190</v>
      </c>
      <c r="C3008" s="74">
        <v>741.81</v>
      </c>
    </row>
    <row r="3009" spans="1:4" ht="30">
      <c r="A3009" s="8"/>
      <c r="B3009" s="80" t="s">
        <v>208</v>
      </c>
      <c r="C3009" s="59">
        <f>(C2995-C2998-C3000)</f>
        <v>-39747.094</v>
      </c>
      <c r="D3009" s="75"/>
    </row>
    <row r="3010" spans="1:3" ht="18">
      <c r="A3010" s="8"/>
      <c r="B3010" s="60" t="s">
        <v>652</v>
      </c>
      <c r="C3010" s="74">
        <f>SUM(C3008:C3009)</f>
        <v>-39005.284</v>
      </c>
    </row>
    <row r="3011" ht="54" customHeight="1"/>
    <row r="3012" spans="2:4" ht="15">
      <c r="B3012" s="196" t="s">
        <v>609</v>
      </c>
      <c r="C3012" s="196"/>
      <c r="D3012" s="196"/>
    </row>
    <row r="3013" spans="2:4" ht="15">
      <c r="B3013" s="197" t="s">
        <v>704</v>
      </c>
      <c r="C3013" s="197"/>
      <c r="D3013" s="1"/>
    </row>
    <row r="3014" spans="2:4" ht="18.75">
      <c r="B3014" s="198" t="s">
        <v>209</v>
      </c>
      <c r="C3014" s="198"/>
      <c r="D3014" s="198"/>
    </row>
    <row r="3015" spans="2:4" ht="15.75">
      <c r="B3015" s="199" t="s">
        <v>612</v>
      </c>
      <c r="C3015" s="199"/>
      <c r="D3015" s="199"/>
    </row>
    <row r="3016" spans="2:4" ht="12.75">
      <c r="B3016" s="3"/>
      <c r="C3016" s="4"/>
      <c r="D3016" s="5"/>
    </row>
    <row r="3017" spans="2:4" ht="14.25">
      <c r="B3017" s="6"/>
      <c r="C3017" s="7"/>
      <c r="D3017" s="5"/>
    </row>
    <row r="3018" spans="1:4" ht="15">
      <c r="A3018" s="8"/>
      <c r="B3018" s="9" t="s">
        <v>613</v>
      </c>
      <c r="C3018" s="10">
        <v>486.06</v>
      </c>
      <c r="D3018" s="5"/>
    </row>
    <row r="3019" spans="1:4" ht="12.75">
      <c r="A3019" s="8"/>
      <c r="B3019" s="11" t="s">
        <v>614</v>
      </c>
      <c r="C3019" s="12">
        <v>3.2</v>
      </c>
      <c r="D3019" s="13"/>
    </row>
    <row r="3020" spans="1:4" ht="12.75">
      <c r="A3020" s="8"/>
      <c r="B3020" s="14" t="s">
        <v>615</v>
      </c>
      <c r="C3020" s="12">
        <v>5.49</v>
      </c>
      <c r="D3020" s="13"/>
    </row>
    <row r="3021" spans="1:4" ht="18.75">
      <c r="A3021" s="17"/>
      <c r="B3021" s="15" t="s">
        <v>616</v>
      </c>
      <c r="C3021" s="57">
        <f>5502.13+9416.3</f>
        <v>14918.43</v>
      </c>
      <c r="D3021" s="5"/>
    </row>
    <row r="3022" spans="1:4" ht="18">
      <c r="A3022" s="17">
        <v>1</v>
      </c>
      <c r="B3022" s="18" t="s">
        <v>668</v>
      </c>
      <c r="C3022" s="21">
        <f>18665.82+32023.42</f>
        <v>50689.24</v>
      </c>
      <c r="D3022" s="5"/>
    </row>
    <row r="3023" spans="1:4" ht="18">
      <c r="A3023" s="17" t="s">
        <v>414</v>
      </c>
      <c r="B3023" s="58" t="s">
        <v>669</v>
      </c>
      <c r="C3023" s="59">
        <f>(C3021+C3022)-C3025</f>
        <v>60125.909999999996</v>
      </c>
      <c r="D3023" s="5"/>
    </row>
    <row r="3024" spans="1:4" ht="18">
      <c r="A3024" s="17" t="s">
        <v>546</v>
      </c>
      <c r="B3024" s="19" t="s">
        <v>670</v>
      </c>
      <c r="C3024" s="59"/>
      <c r="D3024" s="5"/>
    </row>
    <row r="3025" spans="1:4" ht="18">
      <c r="A3025" s="17" t="s">
        <v>547</v>
      </c>
      <c r="B3025" s="60" t="s">
        <v>671</v>
      </c>
      <c r="C3025" s="59">
        <f>2019.07+3462.69</f>
        <v>5481.76</v>
      </c>
      <c r="D3025" s="5"/>
    </row>
    <row r="3026" spans="1:4" ht="12.75">
      <c r="A3026" s="17"/>
      <c r="D3026" s="5"/>
    </row>
    <row r="3027" spans="1:4" ht="31.5">
      <c r="A3027" s="17">
        <v>5</v>
      </c>
      <c r="B3027" s="216" t="s">
        <v>625</v>
      </c>
      <c r="C3027" s="180">
        <f>C3028+C3029+C3030+C3031+C3032+C3033</f>
        <v>44215.436</v>
      </c>
      <c r="D3027" s="5"/>
    </row>
    <row r="3028" spans="1:4" ht="25.5">
      <c r="A3028" s="30" t="s">
        <v>631</v>
      </c>
      <c r="B3028" s="31" t="s">
        <v>632</v>
      </c>
      <c r="C3028" s="32">
        <v>964.09</v>
      </c>
      <c r="D3028" s="5"/>
    </row>
    <row r="3029" spans="1:4" ht="12.75">
      <c r="A3029" s="17" t="s">
        <v>633</v>
      </c>
      <c r="B3029" s="159" t="s">
        <v>210</v>
      </c>
      <c r="C3029" s="34">
        <v>71.93</v>
      </c>
      <c r="D3029" s="5"/>
    </row>
    <row r="3030" spans="1:4" ht="12.75">
      <c r="A3030" s="17" t="s">
        <v>637</v>
      </c>
      <c r="B3030" s="160" t="s">
        <v>427</v>
      </c>
      <c r="C3030" s="91">
        <v>820.26</v>
      </c>
      <c r="D3030" s="5"/>
    </row>
    <row r="3031" spans="1:4" ht="12.75">
      <c r="A3031" s="30" t="s">
        <v>639</v>
      </c>
      <c r="B3031" s="159" t="s">
        <v>460</v>
      </c>
      <c r="C3031" s="34">
        <f>2.4*230*12</f>
        <v>6624</v>
      </c>
      <c r="D3031" s="5"/>
    </row>
    <row r="3032" spans="1:4" ht="12.75">
      <c r="A3032" s="8" t="s">
        <v>643</v>
      </c>
      <c r="B3032" s="159" t="s">
        <v>429</v>
      </c>
      <c r="C3032" s="91">
        <f>C3022*0.15</f>
        <v>7603.3859999999995</v>
      </c>
      <c r="D3032" s="5"/>
    </row>
    <row r="3033" spans="1:4" ht="12.75">
      <c r="A3033" t="s">
        <v>645</v>
      </c>
      <c r="B3033" s="159" t="s">
        <v>430</v>
      </c>
      <c r="C3033" s="34">
        <v>28131.77</v>
      </c>
      <c r="D3033" s="5"/>
    </row>
    <row r="3034" spans="1:4" ht="12.75">
      <c r="A3034" s="8"/>
      <c r="B3034" s="40" t="s">
        <v>662</v>
      </c>
      <c r="C3034" s="41">
        <v>1067.47</v>
      </c>
      <c r="D3034" s="5"/>
    </row>
    <row r="3035" spans="1:4" ht="36">
      <c r="A3035" s="8"/>
      <c r="B3035" s="37" t="s">
        <v>211</v>
      </c>
      <c r="C3035" s="96">
        <v>12594.15</v>
      </c>
      <c r="D3035" s="5"/>
    </row>
    <row r="3036" spans="1:4" ht="12.75">
      <c r="A3036" s="8"/>
      <c r="B3036" s="220" t="s">
        <v>212</v>
      </c>
      <c r="C3036" s="96">
        <v>6225.91</v>
      </c>
      <c r="D3036" s="5"/>
    </row>
    <row r="3037" spans="1:4" ht="12.75">
      <c r="A3037" s="8"/>
      <c r="B3037" s="139" t="s">
        <v>213</v>
      </c>
      <c r="C3037" s="208">
        <v>5278.84</v>
      </c>
      <c r="D3037" s="5"/>
    </row>
    <row r="3038" spans="1:4" ht="24">
      <c r="A3038" s="8"/>
      <c r="B3038" s="37" t="s">
        <v>214</v>
      </c>
      <c r="C3038" s="96">
        <v>2965.4</v>
      </c>
      <c r="D3038" s="5"/>
    </row>
    <row r="3039" spans="1:4" ht="15.75">
      <c r="A3039" s="8"/>
      <c r="B3039" s="79"/>
      <c r="C3039" s="46"/>
      <c r="D3039" s="5"/>
    </row>
    <row r="3040" spans="1:3" ht="15.75">
      <c r="A3040" s="8"/>
      <c r="B3040" s="218" t="s">
        <v>201</v>
      </c>
      <c r="C3040" s="178">
        <v>52544.11</v>
      </c>
    </row>
    <row r="3041" spans="1:3" ht="15.75">
      <c r="A3041" s="8"/>
      <c r="B3041" s="218" t="s">
        <v>215</v>
      </c>
      <c r="C3041" s="99">
        <f>C3023-C3027</f>
        <v>15910.473999999995</v>
      </c>
    </row>
    <row r="3042" spans="1:3" ht="15.75">
      <c r="A3042" s="8"/>
      <c r="B3042" s="219" t="s">
        <v>216</v>
      </c>
      <c r="C3042" s="99">
        <f>SUM(C3040:C3041)</f>
        <v>68454.584</v>
      </c>
    </row>
    <row r="3043" ht="53.25" customHeight="1"/>
    <row r="3044" spans="2:4" ht="15">
      <c r="B3044" s="196" t="s">
        <v>609</v>
      </c>
      <c r="C3044" s="196"/>
      <c r="D3044" s="196"/>
    </row>
    <row r="3045" spans="2:4" ht="15">
      <c r="B3045" s="197" t="s">
        <v>704</v>
      </c>
      <c r="C3045" s="197"/>
      <c r="D3045" s="1"/>
    </row>
    <row r="3046" spans="2:4" ht="18.75">
      <c r="B3046" s="198" t="s">
        <v>217</v>
      </c>
      <c r="C3046" s="198"/>
      <c r="D3046" s="198"/>
    </row>
    <row r="3047" spans="2:4" ht="15.75">
      <c r="B3047" s="199" t="s">
        <v>612</v>
      </c>
      <c r="C3047" s="199"/>
      <c r="D3047" s="199"/>
    </row>
    <row r="3048" spans="2:4" ht="12.75">
      <c r="B3048" s="3"/>
      <c r="C3048" s="4"/>
      <c r="D3048" s="5"/>
    </row>
    <row r="3049" spans="2:4" ht="14.25">
      <c r="B3049" s="6"/>
      <c r="C3049" s="7"/>
      <c r="D3049" s="5"/>
    </row>
    <row r="3050" spans="1:4" ht="15">
      <c r="A3050" s="8"/>
      <c r="B3050" s="9" t="s">
        <v>613</v>
      </c>
      <c r="C3050" s="10">
        <v>232.6</v>
      </c>
      <c r="D3050" s="5"/>
    </row>
    <row r="3051" spans="1:4" ht="12.75">
      <c r="A3051" s="8"/>
      <c r="B3051" s="11" t="s">
        <v>614</v>
      </c>
      <c r="C3051" s="12">
        <v>3.2</v>
      </c>
      <c r="D3051" s="13"/>
    </row>
    <row r="3052" spans="1:4" ht="12.75">
      <c r="A3052" s="8"/>
      <c r="B3052" s="14" t="s">
        <v>615</v>
      </c>
      <c r="C3052" s="12">
        <v>5.49</v>
      </c>
      <c r="D3052" s="13"/>
    </row>
    <row r="3053" spans="1:4" ht="18.75">
      <c r="A3053" s="17"/>
      <c r="B3053" s="15" t="s">
        <v>616</v>
      </c>
      <c r="C3053" s="57">
        <f>295.9+507</f>
        <v>802.9</v>
      </c>
      <c r="D3053" s="5"/>
    </row>
    <row r="3054" spans="1:4" ht="18">
      <c r="A3054" s="17">
        <v>1</v>
      </c>
      <c r="B3054" s="18" t="s">
        <v>668</v>
      </c>
      <c r="C3054" s="21">
        <f>8419.32+14444.28</f>
        <v>22863.6</v>
      </c>
      <c r="D3054" s="5"/>
    </row>
    <row r="3055" spans="1:4" ht="18">
      <c r="A3055" s="17" t="s">
        <v>414</v>
      </c>
      <c r="B3055" s="58" t="s">
        <v>669</v>
      </c>
      <c r="C3055" s="59">
        <f>(C3053+C3054)-C3057</f>
        <v>19843.46</v>
      </c>
      <c r="D3055" s="5"/>
    </row>
    <row r="3056" spans="1:4" ht="18">
      <c r="A3056" s="17" t="s">
        <v>546</v>
      </c>
      <c r="B3056" s="19" t="s">
        <v>670</v>
      </c>
      <c r="C3056" s="59"/>
      <c r="D3056" s="5"/>
    </row>
    <row r="3057" spans="1:4" ht="18">
      <c r="A3057" s="17" t="s">
        <v>547</v>
      </c>
      <c r="B3057" s="60" t="s">
        <v>671</v>
      </c>
      <c r="C3057" s="59">
        <f>1408.08+2414.96</f>
        <v>3823.04</v>
      </c>
      <c r="D3057" s="5"/>
    </row>
    <row r="3058" spans="1:4" ht="12.75">
      <c r="A3058" s="17"/>
      <c r="D3058" s="5"/>
    </row>
    <row r="3059" spans="1:4" ht="31.5">
      <c r="A3059" s="17">
        <v>5</v>
      </c>
      <c r="B3059" s="216" t="s">
        <v>625</v>
      </c>
      <c r="C3059" s="180">
        <f>C3060+C3061+C3062+C3063+C3064+C3065+C3066+C3067</f>
        <v>52065.770000000004</v>
      </c>
      <c r="D3059" s="5"/>
    </row>
    <row r="3060" spans="1:4" ht="25.5">
      <c r="A3060" s="30" t="s">
        <v>631</v>
      </c>
      <c r="B3060" s="31" t="s">
        <v>632</v>
      </c>
      <c r="C3060" s="32">
        <v>390</v>
      </c>
      <c r="D3060" s="5"/>
    </row>
    <row r="3061" spans="1:4" ht="12.75">
      <c r="A3061" s="17" t="s">
        <v>633</v>
      </c>
      <c r="B3061" s="159" t="s">
        <v>210</v>
      </c>
      <c r="C3061" s="34">
        <v>32.85</v>
      </c>
      <c r="D3061" s="5"/>
    </row>
    <row r="3062" spans="1:4" ht="12.75">
      <c r="A3062" s="17" t="s">
        <v>637</v>
      </c>
      <c r="B3062" s="160" t="s">
        <v>427</v>
      </c>
      <c r="C3062" s="91">
        <v>401.76</v>
      </c>
      <c r="D3062" s="5"/>
    </row>
    <row r="3063" spans="1:4" ht="12.75">
      <c r="A3063" s="30" t="s">
        <v>639</v>
      </c>
      <c r="B3063" s="159" t="s">
        <v>442</v>
      </c>
      <c r="C3063" s="34">
        <f>0.8*230*12</f>
        <v>2208</v>
      </c>
      <c r="D3063" s="5"/>
    </row>
    <row r="3064" spans="1:4" ht="12.75">
      <c r="A3064" s="30"/>
      <c r="B3064" s="36" t="s">
        <v>218</v>
      </c>
      <c r="C3064" s="34">
        <v>23854</v>
      </c>
      <c r="D3064" s="5"/>
    </row>
    <row r="3065" spans="1:4" ht="12.75">
      <c r="A3065" s="30"/>
      <c r="B3065" s="36" t="s">
        <v>219</v>
      </c>
      <c r="C3065" s="32">
        <v>472.47</v>
      </c>
      <c r="D3065" s="5"/>
    </row>
    <row r="3066" spans="1:4" ht="12.75">
      <c r="A3066" s="8" t="s">
        <v>643</v>
      </c>
      <c r="B3066" s="159" t="s">
        <v>429</v>
      </c>
      <c r="C3066" s="91">
        <f>C3054*0.15</f>
        <v>3429.5399999999995</v>
      </c>
      <c r="D3066" s="5"/>
    </row>
    <row r="3067" spans="1:4" ht="12.75">
      <c r="A3067" t="s">
        <v>645</v>
      </c>
      <c r="B3067" s="159" t="s">
        <v>430</v>
      </c>
      <c r="C3067" s="34">
        <v>21277.15</v>
      </c>
      <c r="D3067" s="5"/>
    </row>
    <row r="3068" spans="1:4" ht="15.75">
      <c r="A3068" s="8"/>
      <c r="B3068" s="79"/>
      <c r="C3068" s="46"/>
      <c r="D3068" s="5"/>
    </row>
    <row r="3069" spans="1:3" ht="15.75">
      <c r="A3069" s="8"/>
      <c r="B3069" s="218" t="s">
        <v>201</v>
      </c>
      <c r="C3069" s="178">
        <v>49541.47</v>
      </c>
    </row>
    <row r="3070" spans="1:3" ht="15.75">
      <c r="A3070" s="8"/>
      <c r="B3070" s="218" t="s">
        <v>215</v>
      </c>
      <c r="C3070" s="99">
        <f>C3055-C3059</f>
        <v>-32222.310000000005</v>
      </c>
    </row>
    <row r="3071" spans="1:3" ht="15.75">
      <c r="A3071" s="8"/>
      <c r="B3071" s="219" t="s">
        <v>216</v>
      </c>
      <c r="C3071" s="99">
        <f>SUM(C3069:C3070)</f>
        <v>17319.159999999996</v>
      </c>
    </row>
    <row r="3072" ht="52.5" customHeight="1"/>
    <row r="3073" spans="2:4" ht="15">
      <c r="B3073" s="196" t="s">
        <v>609</v>
      </c>
      <c r="C3073" s="196"/>
      <c r="D3073" s="196"/>
    </row>
    <row r="3074" spans="2:4" ht="15">
      <c r="B3074" s="197" t="s">
        <v>610</v>
      </c>
      <c r="C3074" s="197"/>
      <c r="D3074" s="1"/>
    </row>
    <row r="3075" spans="2:4" ht="18.75">
      <c r="B3075" s="198" t="s">
        <v>220</v>
      </c>
      <c r="C3075" s="198"/>
      <c r="D3075" s="198"/>
    </row>
    <row r="3076" spans="2:4" ht="15.75">
      <c r="B3076" s="199" t="s">
        <v>612</v>
      </c>
      <c r="C3076" s="199"/>
      <c r="D3076" s="199"/>
    </row>
    <row r="3077" spans="2:4" ht="12.75">
      <c r="B3077" s="3"/>
      <c r="C3077" s="4"/>
      <c r="D3077" s="5"/>
    </row>
    <row r="3078" spans="2:4" ht="14.25">
      <c r="B3078" s="6"/>
      <c r="C3078" s="7"/>
      <c r="D3078" s="5"/>
    </row>
    <row r="3079" spans="1:4" ht="15.75">
      <c r="A3079" s="8"/>
      <c r="B3079" s="51" t="s">
        <v>613</v>
      </c>
      <c r="C3079" s="52">
        <v>319.9</v>
      </c>
      <c r="D3079" s="5"/>
    </row>
    <row r="3080" spans="1:4" ht="15">
      <c r="A3080" s="8"/>
      <c r="B3080" s="53" t="s">
        <v>667</v>
      </c>
      <c r="C3080" s="54">
        <v>3.2</v>
      </c>
      <c r="D3080" s="13"/>
    </row>
    <row r="3081" spans="1:4" ht="15">
      <c r="A3081" s="8"/>
      <c r="B3081" s="55" t="s">
        <v>615</v>
      </c>
      <c r="C3081" s="56">
        <v>5.49</v>
      </c>
      <c r="D3081" s="13"/>
    </row>
    <row r="3082" spans="1:4" ht="18.75">
      <c r="A3082" s="8"/>
      <c r="B3082" s="15" t="s">
        <v>616</v>
      </c>
      <c r="C3082" s="57">
        <f>5731.8+9808.45</f>
        <v>15540.25</v>
      </c>
      <c r="D3082" s="13"/>
    </row>
    <row r="3083" spans="1:4" ht="18">
      <c r="A3083" s="17">
        <v>1</v>
      </c>
      <c r="B3083" s="18" t="s">
        <v>668</v>
      </c>
      <c r="C3083" s="21">
        <f>12284.16+21075.24</f>
        <v>33359.4</v>
      </c>
      <c r="D3083" s="5"/>
    </row>
    <row r="3084" spans="1:4" ht="18">
      <c r="A3084" s="17">
        <v>2</v>
      </c>
      <c r="B3084" s="58" t="s">
        <v>669</v>
      </c>
      <c r="C3084" s="59">
        <f>(C3082+C3083)-C3086</f>
        <v>46653.03</v>
      </c>
      <c r="D3084" s="5"/>
    </row>
    <row r="3085" spans="1:4" ht="15">
      <c r="A3085" s="17">
        <v>3</v>
      </c>
      <c r="B3085" s="19" t="s">
        <v>670</v>
      </c>
      <c r="C3085" s="20"/>
      <c r="D3085" s="5"/>
    </row>
    <row r="3086" spans="1:4" ht="18.75">
      <c r="A3086" s="17"/>
      <c r="B3086" s="60" t="s">
        <v>671</v>
      </c>
      <c r="C3086" s="16">
        <f>827.28+1419.34</f>
        <v>2246.62</v>
      </c>
      <c r="D3086" s="5"/>
    </row>
    <row r="3087" spans="1:4" ht="15">
      <c r="A3087" s="61"/>
      <c r="B3087" s="62"/>
      <c r="C3087" s="63"/>
      <c r="D3087" s="5"/>
    </row>
    <row r="3088" spans="1:4" ht="31.5">
      <c r="A3088" s="17">
        <v>4</v>
      </c>
      <c r="B3088" s="64" t="s">
        <v>625</v>
      </c>
      <c r="C3088" s="65">
        <f>C3089+C3090+C3091+C3092+C3093+C3094+C3095</f>
        <v>27242.93</v>
      </c>
      <c r="D3088" s="5"/>
    </row>
    <row r="3089" spans="1:4" ht="26.25">
      <c r="A3089" s="30" t="s">
        <v>672</v>
      </c>
      <c r="B3089" s="31" t="s">
        <v>632</v>
      </c>
      <c r="C3089" s="66">
        <v>537.48</v>
      </c>
      <c r="D3089" s="5"/>
    </row>
    <row r="3090" spans="1:4" ht="15.75">
      <c r="A3090" s="17" t="s">
        <v>697</v>
      </c>
      <c r="B3090" s="79" t="s">
        <v>823</v>
      </c>
      <c r="C3090" s="23">
        <v>1328.04</v>
      </c>
      <c r="D3090" s="5"/>
    </row>
    <row r="3091" spans="1:4" ht="15.75">
      <c r="A3091" s="17" t="s">
        <v>673</v>
      </c>
      <c r="B3091" s="79" t="s">
        <v>699</v>
      </c>
      <c r="C3091" s="23">
        <v>45.31</v>
      </c>
      <c r="D3091" s="5"/>
    </row>
    <row r="3092" spans="1:4" ht="15.75">
      <c r="A3092" s="17" t="s">
        <v>676</v>
      </c>
      <c r="B3092" s="81" t="s">
        <v>552</v>
      </c>
      <c r="C3092" s="69">
        <f>1.4*230*12</f>
        <v>3864</v>
      </c>
      <c r="D3092" s="5"/>
    </row>
    <row r="3093" spans="1:4" ht="15.75">
      <c r="A3093" s="17"/>
      <c r="B3093" s="221" t="s">
        <v>221</v>
      </c>
      <c r="C3093" s="222">
        <v>12350</v>
      </c>
      <c r="D3093" s="5"/>
    </row>
    <row r="3094" spans="1:4" ht="15.75">
      <c r="A3094" s="17" t="s">
        <v>31</v>
      </c>
      <c r="B3094" s="82" t="s">
        <v>703</v>
      </c>
      <c r="C3094" s="71">
        <f>C3083*0.15</f>
        <v>5003.91</v>
      </c>
      <c r="D3094" s="5"/>
    </row>
    <row r="3095" spans="1:4" ht="15.75">
      <c r="A3095" s="8">
        <v>5</v>
      </c>
      <c r="B3095" s="79" t="s">
        <v>702</v>
      </c>
      <c r="C3095" s="23">
        <v>4114.19</v>
      </c>
      <c r="D3095" s="5"/>
    </row>
    <row r="3096" spans="1:4" ht="12.75">
      <c r="A3096" s="8"/>
      <c r="B3096" s="223"/>
      <c r="C3096" s="132"/>
      <c r="D3096" s="5"/>
    </row>
    <row r="3097" spans="1:3" ht="18">
      <c r="A3097" s="8"/>
      <c r="B3097" s="73" t="s">
        <v>683</v>
      </c>
      <c r="C3097" s="74">
        <v>3648.56</v>
      </c>
    </row>
    <row r="3098" spans="1:4" ht="18">
      <c r="A3098" s="8"/>
      <c r="B3098" s="73" t="s">
        <v>222</v>
      </c>
      <c r="C3098" s="59">
        <f>C3084-C3088</f>
        <v>19410.1</v>
      </c>
      <c r="D3098" s="75"/>
    </row>
    <row r="3099" spans="1:3" ht="18.75">
      <c r="A3099" s="8"/>
      <c r="B3099" s="76" t="s">
        <v>652</v>
      </c>
      <c r="C3099" s="59">
        <f>SUM(C3097:C3098)</f>
        <v>23058.66</v>
      </c>
    </row>
    <row r="3100" ht="54.75" customHeight="1"/>
    <row r="3101" spans="2:4" ht="15">
      <c r="B3101" s="196" t="s">
        <v>609</v>
      </c>
      <c r="C3101" s="196"/>
      <c r="D3101" s="196"/>
    </row>
    <row r="3102" spans="2:4" ht="15">
      <c r="B3102" s="197" t="s">
        <v>704</v>
      </c>
      <c r="C3102" s="197"/>
      <c r="D3102" s="1"/>
    </row>
    <row r="3103" spans="2:4" ht="18.75">
      <c r="B3103" s="198" t="s">
        <v>223</v>
      </c>
      <c r="C3103" s="198"/>
      <c r="D3103" s="198"/>
    </row>
    <row r="3104" spans="2:4" ht="15.75">
      <c r="B3104" s="199" t="s">
        <v>612</v>
      </c>
      <c r="C3104" s="199"/>
      <c r="D3104" s="199"/>
    </row>
    <row r="3105" spans="2:4" ht="12.75">
      <c r="B3105" s="3"/>
      <c r="C3105" s="4"/>
      <c r="D3105" s="5"/>
    </row>
    <row r="3106" spans="2:4" ht="14.25">
      <c r="B3106" s="6"/>
      <c r="C3106" s="7"/>
      <c r="D3106" s="5"/>
    </row>
    <row r="3107" spans="1:4" ht="15">
      <c r="A3107" s="8"/>
      <c r="B3107" s="9" t="s">
        <v>613</v>
      </c>
      <c r="C3107" s="10">
        <v>69.68</v>
      </c>
      <c r="D3107" s="5"/>
    </row>
    <row r="3108" spans="1:4" ht="12.75">
      <c r="A3108" s="8"/>
      <c r="B3108" s="11" t="s">
        <v>614</v>
      </c>
      <c r="C3108" s="12">
        <v>3.2</v>
      </c>
      <c r="D3108" s="13"/>
    </row>
    <row r="3109" spans="1:4" ht="12.75">
      <c r="A3109" s="8"/>
      <c r="B3109" s="14" t="s">
        <v>615</v>
      </c>
      <c r="C3109" s="12">
        <v>5.49</v>
      </c>
      <c r="D3109" s="13"/>
    </row>
    <row r="3110" spans="1:4" ht="18.75">
      <c r="A3110" s="17"/>
      <c r="B3110" s="15" t="s">
        <v>616</v>
      </c>
      <c r="C3110" s="57">
        <f>1617.01+2769.74</f>
        <v>4386.75</v>
      </c>
      <c r="D3110" s="5"/>
    </row>
    <row r="3111" spans="1:4" ht="18">
      <c r="A3111" s="17">
        <v>1</v>
      </c>
      <c r="B3111" s="18" t="s">
        <v>668</v>
      </c>
      <c r="C3111" s="21">
        <f>2675.76+4590.6</f>
        <v>7266.360000000001</v>
      </c>
      <c r="D3111" s="5"/>
    </row>
    <row r="3112" spans="1:4" ht="18">
      <c r="A3112" s="17" t="s">
        <v>414</v>
      </c>
      <c r="B3112" s="58" t="s">
        <v>669</v>
      </c>
      <c r="C3112" s="59">
        <f>(C3110+C3111)-C3114</f>
        <v>4599.93</v>
      </c>
      <c r="D3112" s="5"/>
    </row>
    <row r="3113" spans="1:4" ht="18">
      <c r="A3113" s="17" t="s">
        <v>546</v>
      </c>
      <c r="B3113" s="19" t="s">
        <v>670</v>
      </c>
      <c r="C3113" s="59"/>
      <c r="D3113" s="5"/>
    </row>
    <row r="3114" spans="1:4" ht="18">
      <c r="A3114" s="17" t="s">
        <v>547</v>
      </c>
      <c r="B3114" s="60" t="s">
        <v>671</v>
      </c>
      <c r="C3114" s="59">
        <f>2598.63+4454.55</f>
        <v>7053.18</v>
      </c>
      <c r="D3114" s="5"/>
    </row>
    <row r="3115" spans="1:4" ht="12.75">
      <c r="A3115" s="17"/>
      <c r="D3115" s="5"/>
    </row>
    <row r="3116" spans="1:4" ht="31.5">
      <c r="A3116" s="17">
        <v>5</v>
      </c>
      <c r="B3116" s="216" t="s">
        <v>625</v>
      </c>
      <c r="C3116" s="180">
        <f>C3117+C3118+C3119+C3120+C3121</f>
        <v>1861.584</v>
      </c>
      <c r="D3116" s="5"/>
    </row>
    <row r="3117" spans="1:4" ht="25.5">
      <c r="A3117" s="30" t="s">
        <v>631</v>
      </c>
      <c r="B3117" s="31" t="s">
        <v>632</v>
      </c>
      <c r="C3117" s="32">
        <v>485.72</v>
      </c>
      <c r="D3117" s="5"/>
    </row>
    <row r="3118" spans="1:4" ht="12.75">
      <c r="A3118" s="17" t="s">
        <v>633</v>
      </c>
      <c r="B3118" s="159" t="s">
        <v>224</v>
      </c>
      <c r="C3118" s="34">
        <v>9.91</v>
      </c>
      <c r="D3118" s="5"/>
    </row>
    <row r="3119" spans="1:4" ht="12.75">
      <c r="A3119" s="30" t="s">
        <v>639</v>
      </c>
      <c r="B3119" s="159" t="s">
        <v>225</v>
      </c>
      <c r="C3119" s="34">
        <f>0.1*230*12</f>
        <v>276</v>
      </c>
      <c r="D3119" s="5"/>
    </row>
    <row r="3120" spans="1:4" ht="12.75">
      <c r="A3120" s="8" t="s">
        <v>643</v>
      </c>
      <c r="B3120" s="159" t="s">
        <v>429</v>
      </c>
      <c r="C3120" s="91">
        <f>C3111*0.15</f>
        <v>1089.954</v>
      </c>
      <c r="D3120" s="5"/>
    </row>
    <row r="3121" spans="1:4" ht="12.75">
      <c r="A3121" t="s">
        <v>645</v>
      </c>
      <c r="B3121" s="159" t="s">
        <v>430</v>
      </c>
      <c r="C3121" s="34">
        <v>0</v>
      </c>
      <c r="D3121" s="5"/>
    </row>
    <row r="3122" spans="1:4" ht="15.75">
      <c r="A3122" s="8"/>
      <c r="B3122" s="79"/>
      <c r="C3122" s="46"/>
      <c r="D3122" s="5"/>
    </row>
    <row r="3123" spans="1:3" ht="15.75">
      <c r="A3123" s="8"/>
      <c r="B3123" s="218" t="s">
        <v>201</v>
      </c>
      <c r="C3123" s="178">
        <v>8425.73</v>
      </c>
    </row>
    <row r="3124" spans="1:3" ht="15.75">
      <c r="A3124" s="8"/>
      <c r="B3124" s="218" t="s">
        <v>215</v>
      </c>
      <c r="C3124" s="99">
        <f>C3112-C3116</f>
        <v>2738.3460000000005</v>
      </c>
    </row>
    <row r="3125" spans="1:3" ht="15.75">
      <c r="A3125" s="8"/>
      <c r="B3125" s="219" t="s">
        <v>216</v>
      </c>
      <c r="C3125" s="99">
        <f>SUM(C3123:C3124)</f>
        <v>11164.076000000001</v>
      </c>
    </row>
    <row r="3126" ht="54" customHeight="1"/>
    <row r="3127" spans="2:4" ht="15">
      <c r="B3127" s="196" t="s">
        <v>609</v>
      </c>
      <c r="C3127" s="196"/>
      <c r="D3127" s="196"/>
    </row>
    <row r="3128" spans="2:4" ht="15">
      <c r="B3128" s="197" t="s">
        <v>610</v>
      </c>
      <c r="C3128" s="197"/>
      <c r="D3128" s="1"/>
    </row>
    <row r="3129" spans="2:4" ht="18.75">
      <c r="B3129" s="198" t="s">
        <v>226</v>
      </c>
      <c r="C3129" s="198"/>
      <c r="D3129" s="198"/>
    </row>
    <row r="3130" spans="2:4" ht="15.75">
      <c r="B3130" s="199" t="s">
        <v>612</v>
      </c>
      <c r="C3130" s="199"/>
      <c r="D3130" s="199"/>
    </row>
    <row r="3131" spans="2:4" ht="12.75">
      <c r="B3131" s="3"/>
      <c r="C3131" s="4"/>
      <c r="D3131" s="5"/>
    </row>
    <row r="3132" spans="2:4" ht="14.25">
      <c r="B3132" s="6"/>
      <c r="C3132" s="7"/>
      <c r="D3132" s="5"/>
    </row>
    <row r="3133" spans="1:4" ht="15.75">
      <c r="A3133" s="8"/>
      <c r="B3133" s="51" t="s">
        <v>613</v>
      </c>
      <c r="C3133" s="52">
        <v>334.7</v>
      </c>
      <c r="D3133" s="5"/>
    </row>
    <row r="3134" spans="1:4" ht="15">
      <c r="A3134" s="8"/>
      <c r="B3134" s="53" t="s">
        <v>667</v>
      </c>
      <c r="C3134" s="54">
        <v>3.2</v>
      </c>
      <c r="D3134" s="13"/>
    </row>
    <row r="3135" spans="1:4" ht="15">
      <c r="A3135" s="8"/>
      <c r="B3135" s="55" t="s">
        <v>615</v>
      </c>
      <c r="C3135" s="56">
        <v>5.49</v>
      </c>
      <c r="D3135" s="13"/>
    </row>
    <row r="3136" spans="1:4" ht="18.75">
      <c r="A3136" s="8"/>
      <c r="B3136" s="15" t="s">
        <v>616</v>
      </c>
      <c r="C3136" s="57">
        <v>21732.14</v>
      </c>
      <c r="D3136" s="13"/>
    </row>
    <row r="3137" spans="1:4" ht="18">
      <c r="A3137" s="17">
        <v>1</v>
      </c>
      <c r="B3137" s="18" t="s">
        <v>668</v>
      </c>
      <c r="C3137" s="21">
        <f>12852.12+22049.52</f>
        <v>34901.64</v>
      </c>
      <c r="D3137" s="5"/>
    </row>
    <row r="3138" spans="1:4" ht="18">
      <c r="A3138" s="17">
        <v>2</v>
      </c>
      <c r="B3138" s="58" t="s">
        <v>669</v>
      </c>
      <c r="C3138" s="59">
        <f>(C3136+C3137)-C3140</f>
        <v>36014.85</v>
      </c>
      <c r="D3138" s="5"/>
    </row>
    <row r="3139" spans="1:4" ht="15">
      <c r="A3139" s="17">
        <v>3</v>
      </c>
      <c r="B3139" s="19" t="s">
        <v>670</v>
      </c>
      <c r="C3139" s="20"/>
      <c r="D3139" s="5"/>
    </row>
    <row r="3140" spans="1:4" ht="18.75">
      <c r="A3140" s="17"/>
      <c r="B3140" s="60" t="s">
        <v>671</v>
      </c>
      <c r="C3140" s="16">
        <f>7596.73+13022.2</f>
        <v>20618.93</v>
      </c>
      <c r="D3140" s="5"/>
    </row>
    <row r="3141" spans="1:4" ht="15">
      <c r="A3141" s="61"/>
      <c r="B3141" s="62"/>
      <c r="C3141" s="63"/>
      <c r="D3141" s="5"/>
    </row>
    <row r="3142" spans="1:4" ht="15">
      <c r="A3142" s="61"/>
      <c r="B3142" s="62"/>
      <c r="C3142" s="63"/>
      <c r="D3142" s="5"/>
    </row>
    <row r="3143" spans="1:4" ht="31.5">
      <c r="A3143" s="17">
        <v>4</v>
      </c>
      <c r="B3143" s="64" t="s">
        <v>625</v>
      </c>
      <c r="C3143" s="27">
        <f>C3144+C3145+C3146+C3147+C3148+C3149</f>
        <v>14274.136000000002</v>
      </c>
      <c r="D3143" s="5"/>
    </row>
    <row r="3144" spans="1:4" ht="26.25">
      <c r="A3144" s="30" t="s">
        <v>672</v>
      </c>
      <c r="B3144" s="31" t="s">
        <v>632</v>
      </c>
      <c r="C3144" s="66">
        <v>560.64</v>
      </c>
      <c r="D3144" s="5"/>
    </row>
    <row r="3145" spans="1:4" ht="15.75">
      <c r="A3145" s="17" t="s">
        <v>697</v>
      </c>
      <c r="B3145" s="79" t="s">
        <v>227</v>
      </c>
      <c r="C3145" s="23">
        <f>209*2.79</f>
        <v>583.11</v>
      </c>
      <c r="D3145" s="5"/>
    </row>
    <row r="3146" spans="1:4" ht="15.75">
      <c r="A3146" s="17" t="s">
        <v>673</v>
      </c>
      <c r="B3146" s="79" t="s">
        <v>699</v>
      </c>
      <c r="C3146" s="23">
        <v>47.01</v>
      </c>
      <c r="D3146" s="5"/>
    </row>
    <row r="3147" spans="1:4" ht="15.75">
      <c r="A3147" s="17" t="s">
        <v>676</v>
      </c>
      <c r="B3147" s="81" t="s">
        <v>10</v>
      </c>
      <c r="C3147" s="69">
        <f>1.7*230*12</f>
        <v>4692</v>
      </c>
      <c r="D3147" s="5"/>
    </row>
    <row r="3148" spans="1:4" ht="15.75">
      <c r="A3148" s="17" t="s">
        <v>31</v>
      </c>
      <c r="B3148" s="82" t="s">
        <v>703</v>
      </c>
      <c r="C3148" s="71">
        <f>C3137*0.15</f>
        <v>5235.246</v>
      </c>
      <c r="D3148" s="5"/>
    </row>
    <row r="3149" spans="1:4" ht="15.75">
      <c r="A3149" s="8">
        <v>5</v>
      </c>
      <c r="B3149" s="79" t="s">
        <v>702</v>
      </c>
      <c r="C3149" s="23">
        <v>3156.13</v>
      </c>
      <c r="D3149" s="5"/>
    </row>
    <row r="3150" spans="1:4" ht="15.75">
      <c r="A3150" s="8"/>
      <c r="B3150" s="79"/>
      <c r="C3150" s="23"/>
      <c r="D3150" s="5"/>
    </row>
    <row r="3151" spans="1:3" ht="18">
      <c r="A3151" s="8"/>
      <c r="B3151" s="73" t="s">
        <v>683</v>
      </c>
      <c r="C3151" s="74">
        <v>20259.61</v>
      </c>
    </row>
    <row r="3152" spans="1:4" ht="18">
      <c r="A3152" s="8"/>
      <c r="B3152" s="73" t="s">
        <v>222</v>
      </c>
      <c r="C3152" s="59">
        <f>C3138-C3143</f>
        <v>21740.713999999996</v>
      </c>
      <c r="D3152" s="75"/>
    </row>
    <row r="3153" spans="1:3" ht="18.75">
      <c r="A3153" s="8"/>
      <c r="B3153" s="76" t="s">
        <v>652</v>
      </c>
      <c r="C3153" s="59">
        <f>SUM(C3151:C3152)</f>
        <v>42000.32399999999</v>
      </c>
    </row>
    <row r="3154" ht="54" customHeight="1"/>
    <row r="3155" spans="2:4" ht="15">
      <c r="B3155" s="196" t="s">
        <v>609</v>
      </c>
      <c r="C3155" s="196"/>
      <c r="D3155" s="196"/>
    </row>
    <row r="3156" spans="2:4" ht="15">
      <c r="B3156" s="197" t="s">
        <v>704</v>
      </c>
      <c r="C3156" s="197"/>
      <c r="D3156" s="1"/>
    </row>
    <row r="3157" spans="2:4" ht="18.75">
      <c r="B3157" s="198" t="s">
        <v>228</v>
      </c>
      <c r="C3157" s="198"/>
      <c r="D3157" s="198"/>
    </row>
    <row r="3158" spans="2:4" ht="15.75">
      <c r="B3158" s="199" t="s">
        <v>612</v>
      </c>
      <c r="C3158" s="199"/>
      <c r="D3158" s="199"/>
    </row>
    <row r="3159" spans="2:4" ht="12.75">
      <c r="B3159" s="3"/>
      <c r="C3159" s="4"/>
      <c r="D3159" s="5"/>
    </row>
    <row r="3160" spans="2:4" ht="14.25">
      <c r="B3160" s="6"/>
      <c r="C3160" s="7"/>
      <c r="D3160" s="5"/>
    </row>
    <row r="3161" spans="1:4" ht="15">
      <c r="A3161" s="8"/>
      <c r="B3161" s="9" t="s">
        <v>613</v>
      </c>
      <c r="C3161" s="10">
        <v>102.5</v>
      </c>
      <c r="D3161" s="5"/>
    </row>
    <row r="3162" spans="1:4" ht="12.75">
      <c r="A3162" s="8"/>
      <c r="B3162" s="11" t="s">
        <v>614</v>
      </c>
      <c r="C3162" s="12">
        <v>3.2</v>
      </c>
      <c r="D3162" s="13"/>
    </row>
    <row r="3163" spans="1:4" ht="12.75">
      <c r="A3163" s="8"/>
      <c r="B3163" s="14" t="s">
        <v>615</v>
      </c>
      <c r="C3163" s="12">
        <v>5.49</v>
      </c>
      <c r="D3163" s="13"/>
    </row>
    <row r="3164" spans="1:4" ht="18.75">
      <c r="A3164" s="17"/>
      <c r="B3164" s="15" t="s">
        <v>616</v>
      </c>
      <c r="C3164" s="57">
        <f>174.4+298.79</f>
        <v>473.19000000000005</v>
      </c>
      <c r="D3164" s="5"/>
    </row>
    <row r="3165" spans="1:4" ht="18">
      <c r="A3165" s="17">
        <v>1</v>
      </c>
      <c r="B3165" s="18" t="s">
        <v>668</v>
      </c>
      <c r="C3165" s="21">
        <f>3936+6752.76</f>
        <v>10688.76</v>
      </c>
      <c r="D3165" s="5"/>
    </row>
    <row r="3166" spans="1:4" ht="18">
      <c r="A3166" s="17" t="s">
        <v>414</v>
      </c>
      <c r="B3166" s="58" t="s">
        <v>669</v>
      </c>
      <c r="C3166" s="59">
        <f>(C3164+C3165)-C3168</f>
        <v>10618.92</v>
      </c>
      <c r="D3166" s="5"/>
    </row>
    <row r="3167" spans="1:4" ht="18">
      <c r="A3167" s="17" t="s">
        <v>546</v>
      </c>
      <c r="B3167" s="19" t="s">
        <v>670</v>
      </c>
      <c r="C3167" s="59"/>
      <c r="D3167" s="5"/>
    </row>
    <row r="3168" spans="1:4" ht="18">
      <c r="A3168" s="17" t="s">
        <v>547</v>
      </c>
      <c r="B3168" s="60" t="s">
        <v>671</v>
      </c>
      <c r="C3168" s="59">
        <f>199.97+343.06</f>
        <v>543.03</v>
      </c>
      <c r="D3168" s="5"/>
    </row>
    <row r="3169" spans="1:4" ht="12.75">
      <c r="A3169" s="17"/>
      <c r="D3169" s="5"/>
    </row>
    <row r="3170" spans="1:4" ht="31.5">
      <c r="A3170" s="17">
        <v>5</v>
      </c>
      <c r="B3170" s="216" t="s">
        <v>625</v>
      </c>
      <c r="C3170" s="180">
        <f>C3171+C3172+C3173+C3174+C3175+C3176+C3177</f>
        <v>9749.414</v>
      </c>
      <c r="D3170" s="5"/>
    </row>
    <row r="3171" spans="1:4" ht="25.5">
      <c r="A3171" s="30" t="s">
        <v>631</v>
      </c>
      <c r="B3171" s="31" t="s">
        <v>632</v>
      </c>
      <c r="C3171" s="32">
        <v>910.48</v>
      </c>
      <c r="D3171" s="5"/>
    </row>
    <row r="3172" spans="1:4" ht="12.75">
      <c r="A3172" s="17" t="s">
        <v>633</v>
      </c>
      <c r="B3172" s="159" t="s">
        <v>196</v>
      </c>
      <c r="C3172" s="34">
        <v>14.58</v>
      </c>
      <c r="D3172" s="5"/>
    </row>
    <row r="3173" spans="1:4" ht="12.75">
      <c r="A3173" s="30" t="s">
        <v>639</v>
      </c>
      <c r="B3173" s="159" t="s">
        <v>229</v>
      </c>
      <c r="C3173" s="34">
        <f>1.1*230*12</f>
        <v>3036.0000000000005</v>
      </c>
      <c r="D3173" s="5"/>
    </row>
    <row r="3174" spans="1:4" ht="12.75">
      <c r="A3174" s="30" t="s">
        <v>641</v>
      </c>
      <c r="B3174" s="36" t="s">
        <v>230</v>
      </c>
      <c r="C3174" s="32">
        <v>472.47</v>
      </c>
      <c r="D3174" s="5"/>
    </row>
    <row r="3175" spans="1:4" ht="12.75">
      <c r="A3175" s="30"/>
      <c r="B3175" s="36" t="s">
        <v>231</v>
      </c>
      <c r="C3175" s="34">
        <v>400</v>
      </c>
      <c r="D3175" s="5"/>
    </row>
    <row r="3176" spans="1:4" ht="12.75">
      <c r="A3176" s="8" t="s">
        <v>643</v>
      </c>
      <c r="B3176" s="159" t="s">
        <v>429</v>
      </c>
      <c r="C3176" s="91">
        <f>C3165*0.15</f>
        <v>1603.314</v>
      </c>
      <c r="D3176" s="5"/>
    </row>
    <row r="3177" spans="1:4" ht="12.75">
      <c r="A3177" s="8" t="s">
        <v>645</v>
      </c>
      <c r="B3177" s="159" t="s">
        <v>430</v>
      </c>
      <c r="C3177" s="34">
        <v>3312.57</v>
      </c>
      <c r="D3177" s="5"/>
    </row>
    <row r="3178" spans="1:4" ht="15.75">
      <c r="A3178" s="8"/>
      <c r="B3178" s="79"/>
      <c r="C3178" s="46"/>
      <c r="D3178" s="5"/>
    </row>
    <row r="3179" spans="1:3" ht="15.75">
      <c r="A3179" s="8"/>
      <c r="B3179" s="218" t="s">
        <v>201</v>
      </c>
      <c r="C3179" s="178">
        <v>4322.91</v>
      </c>
    </row>
    <row r="3180" spans="1:3" ht="15.75">
      <c r="A3180" s="8"/>
      <c r="B3180" s="218" t="s">
        <v>200</v>
      </c>
      <c r="C3180" s="99">
        <f>C3166-C3170</f>
        <v>869.5059999999994</v>
      </c>
    </row>
    <row r="3181" spans="1:3" ht="15.75">
      <c r="A3181" s="8"/>
      <c r="B3181" s="219" t="s">
        <v>202</v>
      </c>
      <c r="C3181" s="99">
        <f>SUM(C3179:C3180)</f>
        <v>5192.415999999999</v>
      </c>
    </row>
    <row r="3182" ht="53.25" customHeight="1"/>
    <row r="3183" spans="2:4" ht="15">
      <c r="B3183" s="196" t="s">
        <v>609</v>
      </c>
      <c r="C3183" s="196"/>
      <c r="D3183" s="196"/>
    </row>
    <row r="3184" spans="2:4" ht="15">
      <c r="B3184" s="197" t="s">
        <v>610</v>
      </c>
      <c r="C3184" s="197"/>
      <c r="D3184" s="1"/>
    </row>
    <row r="3185" spans="2:4" ht="18.75">
      <c r="B3185" s="198" t="s">
        <v>232</v>
      </c>
      <c r="C3185" s="198"/>
      <c r="D3185" s="198"/>
    </row>
    <row r="3186" spans="2:4" ht="15.75">
      <c r="B3186" s="199" t="s">
        <v>612</v>
      </c>
      <c r="C3186" s="199"/>
      <c r="D3186" s="199"/>
    </row>
    <row r="3187" spans="2:4" ht="12.75">
      <c r="B3187" s="3"/>
      <c r="C3187" s="4"/>
      <c r="D3187" s="5"/>
    </row>
    <row r="3188" spans="2:4" ht="14.25">
      <c r="B3188" s="6"/>
      <c r="C3188" s="7"/>
      <c r="D3188" s="5"/>
    </row>
    <row r="3189" spans="1:4" ht="15.75">
      <c r="A3189" s="8"/>
      <c r="B3189" s="51" t="s">
        <v>613</v>
      </c>
      <c r="C3189" s="52">
        <v>527.95</v>
      </c>
      <c r="D3189" s="5"/>
    </row>
    <row r="3190" spans="1:4" ht="15">
      <c r="A3190" s="8"/>
      <c r="B3190" s="53" t="s">
        <v>667</v>
      </c>
      <c r="C3190" s="54">
        <v>3.2</v>
      </c>
      <c r="D3190" s="13"/>
    </row>
    <row r="3191" spans="1:4" ht="15">
      <c r="A3191" s="8"/>
      <c r="B3191" s="55" t="s">
        <v>615</v>
      </c>
      <c r="C3191" s="56">
        <v>5.49</v>
      </c>
      <c r="D3191" s="13"/>
    </row>
    <row r="3192" spans="1:4" ht="18.75">
      <c r="A3192" s="8"/>
      <c r="B3192" s="19" t="s">
        <v>233</v>
      </c>
      <c r="C3192" s="57">
        <f>1093.08+1872.64</f>
        <v>2965.7200000000003</v>
      </c>
      <c r="D3192" s="13"/>
    </row>
    <row r="3193" spans="1:4" ht="18">
      <c r="A3193" s="17">
        <v>1</v>
      </c>
      <c r="B3193" s="18" t="s">
        <v>668</v>
      </c>
      <c r="C3193" s="21">
        <f>20241.93+34727.68</f>
        <v>54969.61</v>
      </c>
      <c r="D3193" s="5"/>
    </row>
    <row r="3194" spans="1:4" ht="15.75">
      <c r="A3194" s="17"/>
      <c r="B3194" s="174" t="s">
        <v>234</v>
      </c>
      <c r="C3194" s="23">
        <v>78512.15</v>
      </c>
      <c r="D3194" s="5"/>
    </row>
    <row r="3195" spans="1:4" ht="18">
      <c r="A3195" s="17">
        <v>2</v>
      </c>
      <c r="B3195" s="58" t="s">
        <v>235</v>
      </c>
      <c r="C3195" s="59">
        <f>(C3192+C3193+C3194)-C3197-C3198</f>
        <v>115483.26999999997</v>
      </c>
      <c r="D3195" s="5"/>
    </row>
    <row r="3196" spans="1:4" ht="15">
      <c r="A3196" s="17">
        <v>3</v>
      </c>
      <c r="B3196" s="19" t="s">
        <v>670</v>
      </c>
      <c r="C3196" s="20"/>
      <c r="D3196" s="5"/>
    </row>
    <row r="3197" spans="1:4" ht="18.75">
      <c r="A3197" s="17"/>
      <c r="B3197" s="60" t="s">
        <v>671</v>
      </c>
      <c r="C3197" s="16">
        <f>1999.02+3429.42</f>
        <v>5428.4400000000005</v>
      </c>
      <c r="D3197" s="5"/>
    </row>
    <row r="3198" spans="1:4" ht="15">
      <c r="A3198" s="61"/>
      <c r="B3198" s="62" t="s">
        <v>236</v>
      </c>
      <c r="C3198" s="63">
        <v>15535.77</v>
      </c>
      <c r="D3198" s="5"/>
    </row>
    <row r="3199" spans="1:4" ht="15">
      <c r="A3199" s="61"/>
      <c r="B3199" s="62"/>
      <c r="C3199" s="63"/>
      <c r="D3199" s="5"/>
    </row>
    <row r="3200" spans="1:4" ht="31.5">
      <c r="A3200" s="17">
        <v>4</v>
      </c>
      <c r="B3200" s="64" t="s">
        <v>625</v>
      </c>
      <c r="C3200" s="27">
        <f>C3201+C3202+C3203+C3204+C3205+C3206</f>
        <v>142991.90149999998</v>
      </c>
      <c r="D3200" s="5"/>
    </row>
    <row r="3201" spans="1:4" ht="26.25">
      <c r="A3201" s="30" t="s">
        <v>672</v>
      </c>
      <c r="B3201" s="31" t="s">
        <v>632</v>
      </c>
      <c r="C3201" s="66">
        <v>1679.88</v>
      </c>
      <c r="D3201" s="5"/>
    </row>
    <row r="3202" spans="1:4" ht="15.75">
      <c r="A3202" s="17" t="s">
        <v>697</v>
      </c>
      <c r="B3202" s="79" t="s">
        <v>227</v>
      </c>
      <c r="C3202" s="23">
        <v>2471.94</v>
      </c>
      <c r="D3202" s="5"/>
    </row>
    <row r="3203" spans="1:4" ht="15.75">
      <c r="A3203" s="17" t="s">
        <v>673</v>
      </c>
      <c r="B3203" s="79" t="s">
        <v>699</v>
      </c>
      <c r="C3203" s="23">
        <v>37.52</v>
      </c>
      <c r="D3203" s="5"/>
    </row>
    <row r="3204" spans="1:4" ht="15.75">
      <c r="A3204" s="17" t="s">
        <v>676</v>
      </c>
      <c r="B3204" s="81" t="s">
        <v>486</v>
      </c>
      <c r="C3204" s="69">
        <f>2.3*230*12</f>
        <v>6348</v>
      </c>
      <c r="D3204" s="5"/>
    </row>
    <row r="3205" spans="1:4" ht="15.75">
      <c r="A3205" s="17" t="s">
        <v>31</v>
      </c>
      <c r="B3205" s="82" t="s">
        <v>703</v>
      </c>
      <c r="C3205" s="71">
        <f>C3193*0.15</f>
        <v>8245.441499999999</v>
      </c>
      <c r="D3205" s="5"/>
    </row>
    <row r="3206" spans="1:4" ht="15.75">
      <c r="A3206" s="8">
        <v>5</v>
      </c>
      <c r="B3206" s="79" t="s">
        <v>702</v>
      </c>
      <c r="C3206" s="23">
        <v>124209.12</v>
      </c>
      <c r="D3206" s="5"/>
    </row>
    <row r="3207" spans="1:4" ht="12.75">
      <c r="A3207" s="8"/>
      <c r="B3207" s="129"/>
      <c r="C3207" s="78"/>
      <c r="D3207" s="5"/>
    </row>
    <row r="3208" spans="1:3" ht="18">
      <c r="A3208" s="8"/>
      <c r="B3208" s="73" t="s">
        <v>683</v>
      </c>
      <c r="C3208" s="74">
        <v>45521.27</v>
      </c>
    </row>
    <row r="3209" spans="1:4" ht="18">
      <c r="A3209" s="8"/>
      <c r="B3209" s="73" t="s">
        <v>222</v>
      </c>
      <c r="C3209" s="59">
        <f>C3195-C3200</f>
        <v>-27508.631500000003</v>
      </c>
      <c r="D3209" s="75"/>
    </row>
    <row r="3210" spans="1:3" ht="18.75">
      <c r="A3210" s="8"/>
      <c r="B3210" s="76" t="s">
        <v>652</v>
      </c>
      <c r="C3210" s="59">
        <f>SUM(C3208:C3209)</f>
        <v>18012.638499999994</v>
      </c>
    </row>
    <row r="3211" ht="51.75" customHeight="1"/>
    <row r="3212" spans="2:4" ht="15">
      <c r="B3212" s="196" t="s">
        <v>609</v>
      </c>
      <c r="C3212" s="196"/>
      <c r="D3212" s="196"/>
    </row>
    <row r="3213" spans="2:4" ht="15">
      <c r="B3213" s="197" t="s">
        <v>610</v>
      </c>
      <c r="C3213" s="197"/>
      <c r="D3213" s="1"/>
    </row>
    <row r="3214" spans="2:4" ht="18.75">
      <c r="B3214" s="198" t="s">
        <v>237</v>
      </c>
      <c r="C3214" s="198"/>
      <c r="D3214" s="198"/>
    </row>
    <row r="3215" spans="2:4" ht="15.75">
      <c r="B3215" s="199" t="s">
        <v>612</v>
      </c>
      <c r="C3215" s="199"/>
      <c r="D3215" s="199"/>
    </row>
    <row r="3216" spans="2:4" ht="12.75">
      <c r="B3216" s="3"/>
      <c r="C3216" s="4"/>
      <c r="D3216" s="5"/>
    </row>
    <row r="3217" spans="2:4" ht="14.25">
      <c r="B3217" s="6"/>
      <c r="C3217" s="7"/>
      <c r="D3217" s="5"/>
    </row>
    <row r="3218" spans="1:4" ht="15.75">
      <c r="A3218" s="8"/>
      <c r="B3218" s="51" t="s">
        <v>613</v>
      </c>
      <c r="C3218" s="52">
        <v>516.51</v>
      </c>
      <c r="D3218" s="5"/>
    </row>
    <row r="3219" spans="1:4" ht="15">
      <c r="A3219" s="8"/>
      <c r="B3219" s="53" t="s">
        <v>667</v>
      </c>
      <c r="C3219" s="54">
        <v>3.2</v>
      </c>
      <c r="D3219" s="13"/>
    </row>
    <row r="3220" spans="1:4" ht="15">
      <c r="A3220" s="8"/>
      <c r="B3220" s="55" t="s">
        <v>615</v>
      </c>
      <c r="C3220" s="56">
        <v>5.49</v>
      </c>
      <c r="D3220" s="13"/>
    </row>
    <row r="3221" spans="1:4" ht="18.75">
      <c r="A3221" s="8"/>
      <c r="B3221" s="15" t="s">
        <v>616</v>
      </c>
      <c r="C3221" s="57">
        <f>2809.84+4813.42</f>
        <v>7623.26</v>
      </c>
      <c r="D3221" s="13"/>
    </row>
    <row r="3222" spans="1:4" ht="18">
      <c r="A3222" s="17">
        <v>1</v>
      </c>
      <c r="B3222" s="18" t="s">
        <v>668</v>
      </c>
      <c r="C3222" s="21">
        <f>19833.96+34027.56</f>
        <v>53861.52</v>
      </c>
      <c r="D3222" s="5"/>
    </row>
    <row r="3223" spans="1:4" ht="18">
      <c r="A3223" s="17">
        <v>2</v>
      </c>
      <c r="B3223" s="58" t="s">
        <v>669</v>
      </c>
      <c r="C3223" s="59">
        <f>(C3221+C3222)-C3225-C3226</f>
        <v>35932.03</v>
      </c>
      <c r="D3223" s="5"/>
    </row>
    <row r="3224" spans="1:4" ht="15">
      <c r="A3224" s="17">
        <v>3</v>
      </c>
      <c r="B3224" s="19" t="s">
        <v>670</v>
      </c>
      <c r="C3224" s="20"/>
      <c r="D3224" s="5"/>
    </row>
    <row r="3225" spans="1:4" ht="18.75">
      <c r="A3225" s="17"/>
      <c r="B3225" s="60" t="s">
        <v>671</v>
      </c>
      <c r="C3225" s="16">
        <f>4446.72+7624.63</f>
        <v>12071.35</v>
      </c>
      <c r="D3225" s="5"/>
    </row>
    <row r="3226" spans="1:4" ht="15.75">
      <c r="A3226" s="61"/>
      <c r="B3226" s="174" t="s">
        <v>238</v>
      </c>
      <c r="C3226" s="23">
        <v>13481.4</v>
      </c>
      <c r="D3226" s="5"/>
    </row>
    <row r="3227" spans="1:4" ht="15">
      <c r="A3227" s="61"/>
      <c r="B3227" s="62"/>
      <c r="C3227" s="63"/>
      <c r="D3227" s="5"/>
    </row>
    <row r="3228" spans="1:4" ht="31.5">
      <c r="A3228" s="17">
        <v>4</v>
      </c>
      <c r="B3228" s="64" t="s">
        <v>625</v>
      </c>
      <c r="C3228" s="27">
        <f>C3229+C3230+C3231+C3232+C3233+C3234</f>
        <v>28915.267999999996</v>
      </c>
      <c r="D3228" s="5"/>
    </row>
    <row r="3229" spans="1:4" ht="26.25">
      <c r="A3229" s="30" t="s">
        <v>672</v>
      </c>
      <c r="B3229" s="31" t="s">
        <v>632</v>
      </c>
      <c r="C3229" s="66">
        <v>1631.45</v>
      </c>
      <c r="D3229" s="5"/>
    </row>
    <row r="3230" spans="1:4" ht="15.75">
      <c r="A3230" s="17" t="s">
        <v>697</v>
      </c>
      <c r="B3230" s="79" t="s">
        <v>239</v>
      </c>
      <c r="C3230" s="23">
        <v>1395</v>
      </c>
      <c r="D3230" s="5"/>
    </row>
    <row r="3231" spans="1:4" ht="15.75">
      <c r="A3231" s="17" t="s">
        <v>673</v>
      </c>
      <c r="B3231" s="79" t="s">
        <v>699</v>
      </c>
      <c r="C3231" s="23">
        <v>36.53</v>
      </c>
      <c r="D3231" s="5"/>
    </row>
    <row r="3232" spans="1:4" ht="15.75">
      <c r="A3232" s="17" t="s">
        <v>676</v>
      </c>
      <c r="B3232" s="81" t="s">
        <v>469</v>
      </c>
      <c r="C3232" s="69">
        <f>2*230*12</f>
        <v>5520</v>
      </c>
      <c r="D3232" s="5"/>
    </row>
    <row r="3233" spans="1:4" ht="15.75">
      <c r="A3233" s="17" t="s">
        <v>31</v>
      </c>
      <c r="B3233" s="82" t="s">
        <v>703</v>
      </c>
      <c r="C3233" s="71">
        <f>C3222*0.15</f>
        <v>8079.227999999999</v>
      </c>
      <c r="D3233" s="5"/>
    </row>
    <row r="3234" spans="1:4" ht="15.75">
      <c r="A3234" s="8">
        <v>5</v>
      </c>
      <c r="B3234" s="79" t="s">
        <v>702</v>
      </c>
      <c r="C3234" s="23">
        <v>12253.06</v>
      </c>
      <c r="D3234" s="5"/>
    </row>
    <row r="3235" spans="1:4" ht="12.75">
      <c r="A3235" s="8"/>
      <c r="B3235" s="47"/>
      <c r="C3235" s="41"/>
      <c r="D3235" s="5"/>
    </row>
    <row r="3236" spans="1:3" ht="18">
      <c r="A3236" s="8"/>
      <c r="B3236" s="73" t="s">
        <v>683</v>
      </c>
      <c r="C3236" s="59">
        <v>20947.79</v>
      </c>
    </row>
    <row r="3237" spans="1:4" ht="18">
      <c r="A3237" s="8"/>
      <c r="B3237" s="73" t="s">
        <v>222</v>
      </c>
      <c r="C3237" s="59">
        <f>C3223-C3228</f>
        <v>7016.762000000002</v>
      </c>
      <c r="D3237" s="75"/>
    </row>
    <row r="3238" spans="1:3" ht="18.75">
      <c r="A3238" s="8"/>
      <c r="B3238" s="76" t="s">
        <v>652</v>
      </c>
      <c r="C3238" s="59">
        <f>SUM(C3236:C3237)</f>
        <v>27964.552000000003</v>
      </c>
    </row>
    <row r="3239" ht="53.25" customHeight="1"/>
    <row r="3240" spans="2:4" ht="15">
      <c r="B3240" s="196" t="s">
        <v>609</v>
      </c>
      <c r="C3240" s="196"/>
      <c r="D3240" s="196"/>
    </row>
    <row r="3241" spans="2:4" ht="15">
      <c r="B3241" s="197" t="s">
        <v>610</v>
      </c>
      <c r="C3241" s="197"/>
      <c r="D3241" s="1"/>
    </row>
    <row r="3242" spans="2:4" ht="18.75">
      <c r="B3242" s="198" t="s">
        <v>240</v>
      </c>
      <c r="C3242" s="198"/>
      <c r="D3242" s="198"/>
    </row>
    <row r="3243" spans="2:4" ht="15.75">
      <c r="B3243" s="199" t="s">
        <v>612</v>
      </c>
      <c r="C3243" s="199"/>
      <c r="D3243" s="199"/>
    </row>
    <row r="3244" spans="2:4" ht="14.25">
      <c r="B3244" s="6"/>
      <c r="C3244" s="7"/>
      <c r="D3244" s="5"/>
    </row>
    <row r="3245" spans="1:4" ht="15">
      <c r="A3245" s="8"/>
      <c r="B3245" s="9" t="s">
        <v>613</v>
      </c>
      <c r="C3245" s="10">
        <v>333.9</v>
      </c>
      <c r="D3245" s="5"/>
    </row>
    <row r="3246" spans="1:4" ht="12.75">
      <c r="A3246" s="8"/>
      <c r="B3246" s="11" t="s">
        <v>614</v>
      </c>
      <c r="C3246" s="12">
        <v>3.74</v>
      </c>
      <c r="D3246" s="13"/>
    </row>
    <row r="3247" spans="1:4" ht="12.75">
      <c r="A3247" s="8"/>
      <c r="B3247" s="14" t="s">
        <v>615</v>
      </c>
      <c r="C3247" s="12">
        <v>6.42</v>
      </c>
      <c r="D3247" s="13"/>
    </row>
    <row r="3248" spans="1:4" ht="18.75">
      <c r="A3248" s="8"/>
      <c r="B3248" s="15" t="s">
        <v>616</v>
      </c>
      <c r="C3248" s="16">
        <v>14179.16</v>
      </c>
      <c r="D3248" s="13"/>
    </row>
    <row r="3249" spans="1:4" ht="18.75">
      <c r="A3249" s="17">
        <v>1</v>
      </c>
      <c r="B3249" s="18" t="s">
        <v>617</v>
      </c>
      <c r="C3249" s="16">
        <f>C3250+C3251</f>
        <v>39795.04</v>
      </c>
      <c r="D3249" s="5"/>
    </row>
    <row r="3250" spans="1:4" ht="15">
      <c r="A3250" s="17"/>
      <c r="B3250" s="19" t="s">
        <v>618</v>
      </c>
      <c r="C3250" s="20">
        <f>14458.68+24816.36</f>
        <v>39275.04</v>
      </c>
      <c r="D3250" s="5"/>
    </row>
    <row r="3251" spans="1:4" ht="15">
      <c r="A3251" s="17"/>
      <c r="B3251" s="19" t="s">
        <v>657</v>
      </c>
      <c r="C3251" s="20">
        <v>520</v>
      </c>
      <c r="D3251" s="5"/>
    </row>
    <row r="3252" spans="1:4" ht="18">
      <c r="A3252" s="17">
        <v>2</v>
      </c>
      <c r="B3252" s="18" t="s">
        <v>620</v>
      </c>
      <c r="C3252" s="21">
        <f>C3253+C3254+C3255</f>
        <v>90273.64</v>
      </c>
      <c r="D3252" s="5"/>
    </row>
    <row r="3253" spans="1:4" ht="15.75">
      <c r="A3253" s="17" t="s">
        <v>621</v>
      </c>
      <c r="B3253" s="102" t="s">
        <v>743</v>
      </c>
      <c r="C3253" s="23">
        <f>11404.6+19573.47</f>
        <v>30978.07</v>
      </c>
      <c r="D3253" s="5"/>
    </row>
    <row r="3254" spans="1:4" ht="15.75">
      <c r="A3254" s="17" t="s">
        <v>623</v>
      </c>
      <c r="B3254" s="102" t="s">
        <v>808</v>
      </c>
      <c r="C3254" s="23">
        <v>219.13</v>
      </c>
      <c r="D3254" s="5"/>
    </row>
    <row r="3255" spans="1:4" ht="15.75">
      <c r="A3255" s="17"/>
      <c r="B3255" s="102" t="s">
        <v>241</v>
      </c>
      <c r="C3255" s="23">
        <v>59076.44</v>
      </c>
      <c r="D3255" s="5"/>
    </row>
    <row r="3256" spans="1:4" ht="36">
      <c r="A3256" s="17">
        <v>5</v>
      </c>
      <c r="B3256" s="24" t="s">
        <v>625</v>
      </c>
      <c r="C3256" s="85">
        <f>C3257+C3259</f>
        <v>18216.906000000003</v>
      </c>
      <c r="D3256" s="5"/>
    </row>
    <row r="3257" spans="1:4" ht="18.75">
      <c r="A3257" s="17"/>
      <c r="B3257" s="26" t="s">
        <v>626</v>
      </c>
      <c r="C3257" s="27">
        <f>C3258</f>
        <v>2558.4</v>
      </c>
      <c r="D3257" s="5"/>
    </row>
    <row r="3258" spans="1:4" ht="15">
      <c r="A3258" s="17" t="s">
        <v>627</v>
      </c>
      <c r="B3258" s="28" t="s">
        <v>628</v>
      </c>
      <c r="C3258" s="29">
        <f>123*20.8</f>
        <v>2558.4</v>
      </c>
      <c r="D3258" s="5"/>
    </row>
    <row r="3259" spans="1:4" ht="18.75">
      <c r="A3259" s="17" t="s">
        <v>629</v>
      </c>
      <c r="B3259" s="26" t="s">
        <v>630</v>
      </c>
      <c r="C3259" s="27">
        <f>C3260+C3261+C3262+C3263+C3264+C3265+C3266</f>
        <v>15658.506000000001</v>
      </c>
      <c r="D3259" s="5"/>
    </row>
    <row r="3260" spans="1:4" ht="25.5">
      <c r="A3260" s="30" t="s">
        <v>631</v>
      </c>
      <c r="B3260" s="31" t="s">
        <v>632</v>
      </c>
      <c r="C3260" s="32">
        <v>929.72</v>
      </c>
      <c r="D3260" s="5"/>
    </row>
    <row r="3261" spans="1:4" ht="12.75">
      <c r="A3261" s="17" t="s">
        <v>633</v>
      </c>
      <c r="B3261" s="33" t="s">
        <v>634</v>
      </c>
      <c r="C3261" s="34">
        <v>47.01</v>
      </c>
      <c r="D3261" s="5"/>
    </row>
    <row r="3262" spans="1:4" ht="12.75">
      <c r="A3262" s="17" t="s">
        <v>637</v>
      </c>
      <c r="B3262" s="35" t="s">
        <v>640</v>
      </c>
      <c r="C3262" s="34">
        <v>848.16</v>
      </c>
      <c r="D3262" s="5"/>
    </row>
    <row r="3263" spans="1:4" ht="12.75">
      <c r="A3263" s="30" t="s">
        <v>639</v>
      </c>
      <c r="B3263" s="33" t="s">
        <v>242</v>
      </c>
      <c r="C3263" s="34">
        <f>2.4*230*12</f>
        <v>6624</v>
      </c>
      <c r="D3263" s="5"/>
    </row>
    <row r="3264" spans="1:4" ht="12.75">
      <c r="A3264" s="30"/>
      <c r="B3264" s="37" t="s">
        <v>243</v>
      </c>
      <c r="C3264" s="34">
        <v>800</v>
      </c>
      <c r="D3264" s="5"/>
    </row>
    <row r="3265" spans="1:3" ht="12.75">
      <c r="A3265" s="30" t="s">
        <v>641</v>
      </c>
      <c r="B3265" s="33" t="s">
        <v>646</v>
      </c>
      <c r="C3265" s="34">
        <f>C3250*0.15</f>
        <v>5891.256</v>
      </c>
    </row>
    <row r="3266" spans="1:3" ht="12.75">
      <c r="A3266" s="17" t="s">
        <v>643</v>
      </c>
      <c r="B3266" s="33" t="s">
        <v>648</v>
      </c>
      <c r="C3266" s="34">
        <v>518.36</v>
      </c>
    </row>
    <row r="3267" spans="1:3" ht="12.75">
      <c r="A3267" s="17"/>
      <c r="B3267" s="37"/>
      <c r="C3267" s="210"/>
    </row>
    <row r="3268" spans="1:4" ht="30">
      <c r="A3268" s="8"/>
      <c r="B3268" s="45" t="s">
        <v>664</v>
      </c>
      <c r="C3268" s="46">
        <f>C3252-C3256</f>
        <v>72056.734</v>
      </c>
      <c r="D3268" s="43"/>
    </row>
    <row r="3269" spans="1:4" ht="15.75">
      <c r="A3269" s="8"/>
      <c r="B3269" s="45" t="s">
        <v>651</v>
      </c>
      <c r="C3269" s="46">
        <v>-84416.94</v>
      </c>
      <c r="D3269" s="43"/>
    </row>
    <row r="3270" spans="1:4" ht="15.75">
      <c r="A3270" s="8"/>
      <c r="B3270" s="98" t="s">
        <v>244</v>
      </c>
      <c r="C3270" s="46">
        <v>15318.12</v>
      </c>
      <c r="D3270" s="43"/>
    </row>
    <row r="3271" spans="1:4" ht="15.75">
      <c r="A3271" s="8"/>
      <c r="B3271" s="45" t="s">
        <v>652</v>
      </c>
      <c r="C3271" s="46">
        <f>SUM(C3268:C3270)</f>
        <v>2957.913999999995</v>
      </c>
      <c r="D3271" s="43"/>
    </row>
    <row r="3272" spans="1:4" ht="15.75">
      <c r="A3272" s="8"/>
      <c r="B3272" s="45"/>
      <c r="C3272" s="46"/>
      <c r="D3272" s="43"/>
    </row>
    <row r="3273" spans="1:3" ht="15.75">
      <c r="A3273" s="8"/>
      <c r="B3273" s="45" t="s">
        <v>653</v>
      </c>
      <c r="C3273" s="46">
        <f>C3274+C3275</f>
        <v>52996.65</v>
      </c>
    </row>
    <row r="3274" spans="1:3" ht="15.75">
      <c r="A3274" s="8"/>
      <c r="B3274" s="45" t="s">
        <v>654</v>
      </c>
      <c r="C3274" s="20">
        <v>20534.49</v>
      </c>
    </row>
    <row r="3275" spans="2:3" ht="15.75">
      <c r="B3275" s="45" t="s">
        <v>245</v>
      </c>
      <c r="C3275" s="46">
        <v>32462.16</v>
      </c>
    </row>
    <row r="3277" ht="12.75">
      <c r="B3277" t="s">
        <v>755</v>
      </c>
    </row>
    <row r="3278" ht="12.75">
      <c r="B3278" t="s">
        <v>63</v>
      </c>
    </row>
    <row r="3279" spans="2:3" ht="12.75">
      <c r="B3279" t="s">
        <v>246</v>
      </c>
      <c r="C3279" s="112">
        <f>123*20.8</f>
        <v>2558.4</v>
      </c>
    </row>
    <row r="3280" spans="2:3" ht="12.75">
      <c r="B3280" t="s">
        <v>247</v>
      </c>
      <c r="C3280" s="113">
        <f>25*20.8</f>
        <v>520</v>
      </c>
    </row>
    <row r="3281" spans="2:3" ht="15">
      <c r="B3281" s="114" t="s">
        <v>248</v>
      </c>
      <c r="C3281" s="115">
        <f>C3279-C3280</f>
        <v>2038.4</v>
      </c>
    </row>
    <row r="3282" ht="54.75" customHeight="1"/>
    <row r="3283" spans="2:4" ht="15">
      <c r="B3283" s="196" t="s">
        <v>609</v>
      </c>
      <c r="C3283" s="196"/>
      <c r="D3283" s="196"/>
    </row>
    <row r="3284" spans="2:4" ht="15">
      <c r="B3284" s="197" t="s">
        <v>704</v>
      </c>
      <c r="C3284" s="197"/>
      <c r="D3284" s="1"/>
    </row>
    <row r="3285" spans="2:4" ht="18.75">
      <c r="B3285" s="198" t="s">
        <v>249</v>
      </c>
      <c r="C3285" s="198"/>
      <c r="D3285" s="198"/>
    </row>
    <row r="3286" spans="2:4" ht="15.75">
      <c r="B3286" s="199" t="s">
        <v>612</v>
      </c>
      <c r="C3286" s="199"/>
      <c r="D3286" s="199"/>
    </row>
    <row r="3287" spans="2:4" ht="12.75">
      <c r="B3287" s="3"/>
      <c r="C3287" s="4"/>
      <c r="D3287" s="5"/>
    </row>
    <row r="3288" spans="2:4" ht="14.25">
      <c r="B3288" s="6"/>
      <c r="C3288" s="7"/>
      <c r="D3288" s="5"/>
    </row>
    <row r="3289" spans="1:4" ht="15">
      <c r="A3289" s="8"/>
      <c r="B3289" s="9" t="s">
        <v>613</v>
      </c>
      <c r="C3289" s="10">
        <v>140.53</v>
      </c>
      <c r="D3289" s="5"/>
    </row>
    <row r="3290" spans="1:4" ht="12.75">
      <c r="A3290" s="8"/>
      <c r="B3290" s="11" t="s">
        <v>614</v>
      </c>
      <c r="C3290" s="12">
        <v>3.74</v>
      </c>
      <c r="D3290" s="13"/>
    </row>
    <row r="3291" spans="1:4" ht="12.75">
      <c r="A3291" s="8"/>
      <c r="B3291" s="14" t="s">
        <v>615</v>
      </c>
      <c r="C3291" s="12">
        <v>6.42</v>
      </c>
      <c r="D3291" s="13"/>
    </row>
    <row r="3292" spans="1:4" ht="18.75">
      <c r="A3292" s="17"/>
      <c r="B3292" s="15" t="s">
        <v>616</v>
      </c>
      <c r="C3292" s="57">
        <f>350.4+600.88</f>
        <v>951.28</v>
      </c>
      <c r="D3292" s="5"/>
    </row>
    <row r="3293" spans="1:4" ht="18">
      <c r="A3293" s="17">
        <v>1</v>
      </c>
      <c r="B3293" s="18" t="s">
        <v>668</v>
      </c>
      <c r="C3293" s="21">
        <f>6303.96+10826.4</f>
        <v>17130.36</v>
      </c>
      <c r="D3293" s="5"/>
    </row>
    <row r="3294" spans="1:4" ht="18">
      <c r="A3294" s="17" t="s">
        <v>414</v>
      </c>
      <c r="B3294" s="58" t="s">
        <v>669</v>
      </c>
      <c r="C3294" s="59">
        <f>(C3292+C3293)-C3296</f>
        <v>18081.64</v>
      </c>
      <c r="D3294" s="5"/>
    </row>
    <row r="3295" spans="1:4" ht="18">
      <c r="A3295" s="17" t="s">
        <v>546</v>
      </c>
      <c r="B3295" s="19" t="s">
        <v>670</v>
      </c>
      <c r="C3295" s="59"/>
      <c r="D3295" s="5"/>
    </row>
    <row r="3296" spans="1:4" ht="18">
      <c r="A3296" s="17" t="s">
        <v>547</v>
      </c>
      <c r="B3296" s="60" t="s">
        <v>671</v>
      </c>
      <c r="C3296" s="59">
        <v>0</v>
      </c>
      <c r="D3296" s="5"/>
    </row>
    <row r="3297" spans="1:4" ht="12.75">
      <c r="A3297" s="17"/>
      <c r="D3297" s="5"/>
    </row>
    <row r="3298" spans="1:4" ht="31.5">
      <c r="A3298" s="17">
        <v>5</v>
      </c>
      <c r="B3298" s="216" t="s">
        <v>625</v>
      </c>
      <c r="C3298" s="180">
        <f>C3299+C3300+C3301+C3302+C3303+C3304</f>
        <v>13356.643999999998</v>
      </c>
      <c r="D3298" s="5"/>
    </row>
    <row r="3299" spans="1:4" ht="25.5">
      <c r="A3299" s="30" t="s">
        <v>631</v>
      </c>
      <c r="B3299" s="31" t="s">
        <v>632</v>
      </c>
      <c r="C3299" s="32">
        <v>6421.86</v>
      </c>
      <c r="D3299" s="5"/>
    </row>
    <row r="3300" spans="1:4" ht="12.75">
      <c r="A3300" s="17" t="s">
        <v>633</v>
      </c>
      <c r="B3300" s="159" t="s">
        <v>196</v>
      </c>
      <c r="C3300" s="34">
        <v>9.49</v>
      </c>
      <c r="D3300" s="5"/>
    </row>
    <row r="3301" spans="1:4" ht="12.75">
      <c r="A3301" s="30" t="s">
        <v>639</v>
      </c>
      <c r="B3301" s="159" t="s">
        <v>250</v>
      </c>
      <c r="C3301" s="34">
        <f>0.9*230*12</f>
        <v>2484</v>
      </c>
      <c r="D3301" s="5"/>
    </row>
    <row r="3302" spans="1:4" ht="12.75">
      <c r="A3302" s="30" t="s">
        <v>641</v>
      </c>
      <c r="B3302" s="160" t="s">
        <v>427</v>
      </c>
      <c r="C3302" s="32">
        <v>345.96</v>
      </c>
      <c r="D3302" s="5"/>
    </row>
    <row r="3303" spans="1:4" ht="12.75">
      <c r="A3303" s="8" t="s">
        <v>643</v>
      </c>
      <c r="B3303" s="159" t="s">
        <v>429</v>
      </c>
      <c r="C3303" s="91">
        <f>C3293*0.15</f>
        <v>2569.554</v>
      </c>
      <c r="D3303" s="5"/>
    </row>
    <row r="3304" spans="1:4" ht="12.75">
      <c r="A3304" t="s">
        <v>645</v>
      </c>
      <c r="B3304" s="159" t="s">
        <v>430</v>
      </c>
      <c r="C3304" s="34">
        <f>C3306+C3307</f>
        <v>1525.78</v>
      </c>
      <c r="D3304" s="5"/>
    </row>
    <row r="3305" spans="2:4" ht="12.75">
      <c r="B3305" s="159" t="s">
        <v>251</v>
      </c>
      <c r="C3305" s="34"/>
      <c r="D3305" s="5"/>
    </row>
    <row r="3306" spans="1:4" ht="12.75">
      <c r="A3306" s="8"/>
      <c r="B3306" s="36" t="s">
        <v>252</v>
      </c>
      <c r="C3306" s="78">
        <v>245.44</v>
      </c>
      <c r="D3306" s="5"/>
    </row>
    <row r="3307" spans="1:4" ht="12.75">
      <c r="A3307" s="8"/>
      <c r="B3307" s="36" t="s">
        <v>253</v>
      </c>
      <c r="C3307" s="78">
        <v>1280.34</v>
      </c>
      <c r="D3307" s="5"/>
    </row>
    <row r="3308" spans="1:4" ht="15.75">
      <c r="A3308" s="8"/>
      <c r="B3308" s="79"/>
      <c r="C3308" s="46"/>
      <c r="D3308" s="5"/>
    </row>
    <row r="3309" spans="1:3" ht="15.75">
      <c r="A3309" s="8"/>
      <c r="B3309" s="218" t="s">
        <v>201</v>
      </c>
      <c r="C3309" s="178">
        <v>3379.97</v>
      </c>
    </row>
    <row r="3310" spans="1:3" ht="15.75">
      <c r="A3310" s="8"/>
      <c r="B3310" s="218" t="s">
        <v>200</v>
      </c>
      <c r="C3310" s="99">
        <f>C3294-C3298</f>
        <v>4724.996000000001</v>
      </c>
    </row>
    <row r="3311" spans="1:3" ht="15.75">
      <c r="A3311" s="8"/>
      <c r="B3311" s="219" t="s">
        <v>202</v>
      </c>
      <c r="C3311" s="99">
        <f>SUM(C3309:C3310)</f>
        <v>8104.966</v>
      </c>
    </row>
    <row r="3312" ht="54" customHeight="1"/>
    <row r="3313" spans="2:4" ht="15">
      <c r="B3313" s="196" t="s">
        <v>609</v>
      </c>
      <c r="C3313" s="196"/>
      <c r="D3313" s="196"/>
    </row>
    <row r="3314" spans="2:4" ht="15">
      <c r="B3314" s="197" t="s">
        <v>610</v>
      </c>
      <c r="C3314" s="197"/>
      <c r="D3314" s="1"/>
    </row>
    <row r="3315" spans="2:4" ht="18.75">
      <c r="B3315" s="198" t="s">
        <v>254</v>
      </c>
      <c r="C3315" s="198"/>
      <c r="D3315" s="198"/>
    </row>
    <row r="3316" spans="2:4" ht="15.75">
      <c r="B3316" s="199" t="s">
        <v>612</v>
      </c>
      <c r="C3316" s="199"/>
      <c r="D3316" s="199"/>
    </row>
    <row r="3317" spans="2:4" ht="12.75">
      <c r="B3317" s="3"/>
      <c r="C3317" s="4"/>
      <c r="D3317" s="5"/>
    </row>
    <row r="3318" spans="2:4" ht="14.25">
      <c r="B3318" s="6"/>
      <c r="C3318" s="7"/>
      <c r="D3318" s="5"/>
    </row>
    <row r="3319" spans="1:4" ht="15.75">
      <c r="A3319" s="8"/>
      <c r="B3319" s="51" t="s">
        <v>613</v>
      </c>
      <c r="C3319" s="99">
        <v>527.5</v>
      </c>
      <c r="D3319" s="5"/>
    </row>
    <row r="3320" spans="1:4" ht="15">
      <c r="A3320" s="8"/>
      <c r="B3320" s="53" t="s">
        <v>667</v>
      </c>
      <c r="C3320" s="54">
        <v>3.2</v>
      </c>
      <c r="D3320" s="13"/>
    </row>
    <row r="3321" spans="1:4" ht="15">
      <c r="A3321" s="8"/>
      <c r="B3321" s="55" t="s">
        <v>615</v>
      </c>
      <c r="C3321" s="56">
        <v>5.49</v>
      </c>
      <c r="D3321" s="13"/>
    </row>
    <row r="3322" spans="1:4" ht="18.75">
      <c r="A3322" s="8"/>
      <c r="B3322" s="15" t="s">
        <v>616</v>
      </c>
      <c r="C3322" s="57">
        <f>14230.63+24370.53</f>
        <v>38601.159999999996</v>
      </c>
      <c r="D3322" s="13"/>
    </row>
    <row r="3323" spans="1:4" ht="18">
      <c r="A3323" s="17">
        <v>1</v>
      </c>
      <c r="B3323" s="18" t="s">
        <v>668</v>
      </c>
      <c r="C3323" s="21">
        <f>20256+34751.64</f>
        <v>55007.64</v>
      </c>
      <c r="D3323" s="5"/>
    </row>
    <row r="3324" spans="1:4" ht="18">
      <c r="A3324" s="17">
        <v>2</v>
      </c>
      <c r="B3324" s="58" t="s">
        <v>669</v>
      </c>
      <c r="C3324" s="59">
        <f>(C3322+C3323)-C3326</f>
        <v>38259.94999999998</v>
      </c>
      <c r="D3324" s="5"/>
    </row>
    <row r="3325" spans="1:4" ht="15">
      <c r="A3325" s="17">
        <v>3</v>
      </c>
      <c r="B3325" s="19" t="s">
        <v>670</v>
      </c>
      <c r="C3325" s="20"/>
      <c r="D3325" s="5"/>
    </row>
    <row r="3326" spans="1:4" ht="18.75">
      <c r="A3326" s="17"/>
      <c r="B3326" s="60" t="s">
        <v>671</v>
      </c>
      <c r="C3326" s="16">
        <f>20393.48+34955.37</f>
        <v>55348.850000000006</v>
      </c>
      <c r="D3326" s="5"/>
    </row>
    <row r="3327" spans="1:4" ht="15">
      <c r="A3327" s="61"/>
      <c r="B3327" s="62"/>
      <c r="C3327" s="63"/>
      <c r="D3327" s="5"/>
    </row>
    <row r="3328" spans="1:4" ht="31.5">
      <c r="A3328" s="17">
        <v>4</v>
      </c>
      <c r="B3328" s="64" t="s">
        <v>625</v>
      </c>
      <c r="C3328" s="27">
        <f>C3329+C3330+C3331+C3332+C3333+C3334+C3335</f>
        <v>38546.626</v>
      </c>
      <c r="D3328" s="5"/>
    </row>
    <row r="3329" spans="1:4" ht="26.25">
      <c r="A3329" s="30" t="s">
        <v>672</v>
      </c>
      <c r="B3329" s="31" t="s">
        <v>632</v>
      </c>
      <c r="C3329" s="66">
        <v>2821.16</v>
      </c>
      <c r="D3329" s="5"/>
    </row>
    <row r="3330" spans="1:4" ht="15.75">
      <c r="A3330" s="17" t="s">
        <v>673</v>
      </c>
      <c r="B3330" s="79" t="s">
        <v>699</v>
      </c>
      <c r="C3330" s="23">
        <v>37.38</v>
      </c>
      <c r="D3330" s="5"/>
    </row>
    <row r="3331" spans="1:4" ht="15.75">
      <c r="A3331" s="17" t="s">
        <v>676</v>
      </c>
      <c r="B3331" s="83" t="s">
        <v>9</v>
      </c>
      <c r="C3331" s="23">
        <v>4090.14</v>
      </c>
      <c r="D3331" s="5"/>
    </row>
    <row r="3332" spans="1:4" ht="15.75">
      <c r="A3332" s="17"/>
      <c r="B3332" s="146" t="s">
        <v>255</v>
      </c>
      <c r="C3332" s="224">
        <v>236.24</v>
      </c>
      <c r="D3332" s="5"/>
    </row>
    <row r="3333" spans="1:4" ht="15.75">
      <c r="A3333" s="17" t="s">
        <v>31</v>
      </c>
      <c r="B3333" s="81" t="s">
        <v>256</v>
      </c>
      <c r="C3333" s="69">
        <f>3.3*230*12</f>
        <v>9108</v>
      </c>
      <c r="D3333" s="5"/>
    </row>
    <row r="3334" spans="1:4" ht="15.75">
      <c r="A3334" s="8" t="s">
        <v>33</v>
      </c>
      <c r="B3334" s="82" t="s">
        <v>703</v>
      </c>
      <c r="C3334" s="225">
        <f>C3323*0.15</f>
        <v>8251.145999999999</v>
      </c>
      <c r="D3334" s="5"/>
    </row>
    <row r="3335" spans="1:4" ht="15.75">
      <c r="A3335" s="8" t="s">
        <v>34</v>
      </c>
      <c r="B3335" s="79" t="s">
        <v>35</v>
      </c>
      <c r="C3335" s="23">
        <v>14002.56</v>
      </c>
      <c r="D3335" s="5"/>
    </row>
    <row r="3336" spans="1:4" ht="12.75">
      <c r="A3336" s="8"/>
      <c r="B3336" s="139"/>
      <c r="C3336" s="93"/>
      <c r="D3336" s="5"/>
    </row>
    <row r="3337" spans="1:3" ht="18">
      <c r="A3337" s="8"/>
      <c r="B3337" s="73" t="s">
        <v>683</v>
      </c>
      <c r="C3337" s="74">
        <v>33449.16</v>
      </c>
    </row>
    <row r="3338" spans="1:4" ht="18">
      <c r="A3338" s="8"/>
      <c r="B3338" s="73" t="s">
        <v>36</v>
      </c>
      <c r="C3338" s="59">
        <f>C3324-C3328</f>
        <v>-286.676000000014</v>
      </c>
      <c r="D3338" s="75"/>
    </row>
    <row r="3339" spans="1:3" ht="18.75">
      <c r="A3339" s="8"/>
      <c r="B3339" s="76" t="s">
        <v>652</v>
      </c>
      <c r="C3339" s="74">
        <f>SUM(C3337:C3338)</f>
        <v>33162.48399999999</v>
      </c>
    </row>
    <row r="3340" ht="51.75" customHeight="1"/>
    <row r="3341" spans="2:4" ht="15">
      <c r="B3341" s="196" t="s">
        <v>609</v>
      </c>
      <c r="C3341" s="196"/>
      <c r="D3341" s="196"/>
    </row>
    <row r="3342" spans="2:4" ht="15">
      <c r="B3342" s="197" t="s">
        <v>610</v>
      </c>
      <c r="C3342" s="197"/>
      <c r="D3342" s="1"/>
    </row>
    <row r="3343" spans="2:4" ht="18.75">
      <c r="B3343" s="198" t="s">
        <v>257</v>
      </c>
      <c r="C3343" s="198"/>
      <c r="D3343" s="198"/>
    </row>
    <row r="3344" spans="2:4" ht="15.75">
      <c r="B3344" s="199" t="s">
        <v>612</v>
      </c>
      <c r="C3344" s="199"/>
      <c r="D3344" s="199"/>
    </row>
    <row r="3345" spans="2:4" ht="12.75">
      <c r="B3345" s="3"/>
      <c r="C3345" s="4"/>
      <c r="D3345" s="5"/>
    </row>
    <row r="3346" spans="2:4" ht="14.25">
      <c r="B3346" s="6"/>
      <c r="C3346" s="7"/>
      <c r="D3346" s="5"/>
    </row>
    <row r="3347" spans="1:4" ht="15.75">
      <c r="A3347" s="8"/>
      <c r="B3347" s="51" t="s">
        <v>613</v>
      </c>
      <c r="C3347" s="99">
        <v>514.2</v>
      </c>
      <c r="D3347" s="5"/>
    </row>
    <row r="3348" spans="1:4" ht="15">
      <c r="A3348" s="8"/>
      <c r="B3348" s="53" t="s">
        <v>667</v>
      </c>
      <c r="C3348" s="54">
        <v>3.2</v>
      </c>
      <c r="D3348" s="13"/>
    </row>
    <row r="3349" spans="1:4" ht="15">
      <c r="A3349" s="8"/>
      <c r="B3349" s="55" t="s">
        <v>615</v>
      </c>
      <c r="C3349" s="56">
        <v>5.49</v>
      </c>
      <c r="D3349" s="13"/>
    </row>
    <row r="3350" spans="1:4" ht="18.75">
      <c r="A3350" s="8"/>
      <c r="B3350" s="15" t="s">
        <v>616</v>
      </c>
      <c r="C3350" s="57">
        <f>1922.1+3292.84</f>
        <v>5214.9400000000005</v>
      </c>
      <c r="D3350" s="13"/>
    </row>
    <row r="3351" spans="1:4" ht="18">
      <c r="A3351" s="17">
        <v>1</v>
      </c>
      <c r="B3351" s="18" t="s">
        <v>668</v>
      </c>
      <c r="C3351" s="21">
        <f>19745.28+33875.4</f>
        <v>53620.68</v>
      </c>
      <c r="D3351" s="5"/>
    </row>
    <row r="3352" spans="1:4" ht="18">
      <c r="A3352" s="17">
        <v>2</v>
      </c>
      <c r="B3352" s="58" t="s">
        <v>669</v>
      </c>
      <c r="C3352" s="59">
        <f>(C3350+C3351)-C3354</f>
        <v>54164.340000000004</v>
      </c>
      <c r="D3352" s="5"/>
    </row>
    <row r="3353" spans="1:4" ht="15">
      <c r="A3353" s="17">
        <v>3</v>
      </c>
      <c r="B3353" s="19" t="s">
        <v>670</v>
      </c>
      <c r="C3353" s="20"/>
      <c r="D3353" s="5"/>
    </row>
    <row r="3354" spans="1:4" ht="18.75">
      <c r="A3354" s="17"/>
      <c r="B3354" s="60" t="s">
        <v>671</v>
      </c>
      <c r="C3354" s="16">
        <f>1720.16+2951.12</f>
        <v>4671.28</v>
      </c>
      <c r="D3354" s="5"/>
    </row>
    <row r="3355" spans="1:4" ht="15">
      <c r="A3355" s="61"/>
      <c r="B3355" s="62"/>
      <c r="C3355" s="63"/>
      <c r="D3355" s="5"/>
    </row>
    <row r="3356" spans="1:4" ht="15">
      <c r="A3356" s="61"/>
      <c r="B3356" s="62"/>
      <c r="C3356" s="63"/>
      <c r="D3356" s="5"/>
    </row>
    <row r="3357" spans="1:4" ht="31.5">
      <c r="A3357" s="17">
        <v>4</v>
      </c>
      <c r="B3357" s="64" t="s">
        <v>625</v>
      </c>
      <c r="C3357" s="27">
        <f>C3358+C3359+C3360+C3361+C3362+C3363+C3364+C3365</f>
        <v>24601.562</v>
      </c>
      <c r="D3357" s="5"/>
    </row>
    <row r="3358" spans="1:4" ht="26.25">
      <c r="A3358" s="30" t="s">
        <v>672</v>
      </c>
      <c r="B3358" s="31" t="s">
        <v>632</v>
      </c>
      <c r="C3358" s="66">
        <v>1635.67</v>
      </c>
      <c r="D3358" s="5"/>
    </row>
    <row r="3359" spans="1:4" ht="15.75">
      <c r="A3359" s="17" t="s">
        <v>673</v>
      </c>
      <c r="B3359" s="79" t="s">
        <v>699</v>
      </c>
      <c r="C3359" s="23">
        <v>36.39</v>
      </c>
      <c r="D3359" s="5"/>
    </row>
    <row r="3360" spans="1:4" ht="15.75">
      <c r="A3360" s="17" t="s">
        <v>676</v>
      </c>
      <c r="B3360" s="83" t="s">
        <v>9</v>
      </c>
      <c r="C3360" s="23">
        <v>3554.46</v>
      </c>
      <c r="D3360" s="5"/>
    </row>
    <row r="3361" spans="1:4" ht="15.75">
      <c r="A3361" s="17"/>
      <c r="B3361" s="146" t="s">
        <v>255</v>
      </c>
      <c r="C3361" s="224">
        <v>236.24</v>
      </c>
      <c r="D3361" s="5"/>
    </row>
    <row r="3362" spans="1:4" ht="15.75">
      <c r="A3362" s="17" t="s">
        <v>31</v>
      </c>
      <c r="B3362" s="81" t="s">
        <v>469</v>
      </c>
      <c r="C3362" s="69">
        <f>2*230*12</f>
        <v>5520</v>
      </c>
      <c r="D3362" s="5"/>
    </row>
    <row r="3363" spans="1:4" ht="15.75">
      <c r="A3363" s="17"/>
      <c r="B3363" s="83" t="s">
        <v>258</v>
      </c>
      <c r="C3363" s="23">
        <v>1600</v>
      </c>
      <c r="D3363" s="5"/>
    </row>
    <row r="3364" spans="1:4" ht="15.75">
      <c r="A3364" s="8" t="s">
        <v>33</v>
      </c>
      <c r="B3364" s="82" t="s">
        <v>703</v>
      </c>
      <c r="C3364" s="225">
        <f>C3351*0.15</f>
        <v>8043.102</v>
      </c>
      <c r="D3364" s="5"/>
    </row>
    <row r="3365" spans="1:4" ht="15.75">
      <c r="A3365" s="8" t="s">
        <v>34</v>
      </c>
      <c r="B3365" s="79" t="s">
        <v>35</v>
      </c>
      <c r="C3365" s="23">
        <v>3975.7</v>
      </c>
      <c r="D3365" s="5"/>
    </row>
    <row r="3366" spans="1:4" ht="12.75">
      <c r="A3366" s="8"/>
      <c r="B3366" s="139"/>
      <c r="C3366" s="93"/>
      <c r="D3366" s="5"/>
    </row>
    <row r="3367" spans="1:3" ht="18">
      <c r="A3367" s="8"/>
      <c r="B3367" s="73" t="s">
        <v>683</v>
      </c>
      <c r="C3367" s="74">
        <v>16632.66</v>
      </c>
    </row>
    <row r="3368" spans="1:4" ht="18">
      <c r="A3368" s="8"/>
      <c r="B3368" s="73" t="s">
        <v>36</v>
      </c>
      <c r="C3368" s="59">
        <f>C3352-C3357</f>
        <v>29562.778000000002</v>
      </c>
      <c r="D3368" s="75"/>
    </row>
    <row r="3369" spans="1:3" ht="18.75">
      <c r="A3369" s="8"/>
      <c r="B3369" s="76" t="s">
        <v>652</v>
      </c>
      <c r="C3369" s="74">
        <f>SUM(C3367:C3368)</f>
        <v>46195.438</v>
      </c>
    </row>
    <row r="3370" ht="52.5" customHeight="1"/>
    <row r="3371" spans="2:4" ht="15">
      <c r="B3371" s="196" t="s">
        <v>609</v>
      </c>
      <c r="C3371" s="196"/>
      <c r="D3371" s="196"/>
    </row>
    <row r="3372" spans="2:4" ht="15">
      <c r="B3372" s="197" t="s">
        <v>610</v>
      </c>
      <c r="C3372" s="197"/>
      <c r="D3372" s="1"/>
    </row>
    <row r="3373" spans="2:4" ht="18.75">
      <c r="B3373" s="198" t="s">
        <v>259</v>
      </c>
      <c r="C3373" s="198"/>
      <c r="D3373" s="198"/>
    </row>
    <row r="3374" spans="2:4" ht="15.75">
      <c r="B3374" s="199" t="s">
        <v>612</v>
      </c>
      <c r="C3374" s="199"/>
      <c r="D3374" s="199"/>
    </row>
    <row r="3375" spans="2:4" ht="12.75">
      <c r="B3375" s="3"/>
      <c r="C3375" s="4"/>
      <c r="D3375" s="5"/>
    </row>
    <row r="3376" spans="2:4" ht="14.25">
      <c r="B3376" s="6"/>
      <c r="C3376" s="7"/>
      <c r="D3376" s="5"/>
    </row>
    <row r="3377" spans="1:4" ht="15.75">
      <c r="A3377" s="8"/>
      <c r="B3377" s="51" t="s">
        <v>613</v>
      </c>
      <c r="C3377" s="99">
        <v>236.52</v>
      </c>
      <c r="D3377" s="5"/>
    </row>
    <row r="3378" spans="1:4" ht="15">
      <c r="A3378" s="8"/>
      <c r="B3378" s="53" t="s">
        <v>667</v>
      </c>
      <c r="C3378" s="54">
        <v>3.2</v>
      </c>
      <c r="D3378" s="13"/>
    </row>
    <row r="3379" spans="1:4" ht="15">
      <c r="A3379" s="8"/>
      <c r="B3379" s="55" t="s">
        <v>615</v>
      </c>
      <c r="C3379" s="56">
        <v>5.49</v>
      </c>
      <c r="D3379" s="13"/>
    </row>
    <row r="3380" spans="1:4" ht="18.75">
      <c r="A3380" s="8"/>
      <c r="B3380" s="15" t="s">
        <v>616</v>
      </c>
      <c r="C3380" s="57">
        <f>203.7+348.98</f>
        <v>552.6800000000001</v>
      </c>
      <c r="D3380" s="13"/>
    </row>
    <row r="3381" spans="1:4" ht="18">
      <c r="A3381" s="17">
        <v>1</v>
      </c>
      <c r="B3381" s="18" t="s">
        <v>668</v>
      </c>
      <c r="C3381" s="21">
        <f>8831.51+15442.99</f>
        <v>24274.5</v>
      </c>
      <c r="D3381" s="5"/>
    </row>
    <row r="3382" spans="1:4" ht="18">
      <c r="A3382" s="17">
        <v>2</v>
      </c>
      <c r="B3382" s="58" t="s">
        <v>669</v>
      </c>
      <c r="C3382" s="59">
        <f>(C3380+C3381)-C3384</f>
        <v>24290.19</v>
      </c>
      <c r="D3382" s="5"/>
    </row>
    <row r="3383" spans="1:4" ht="15">
      <c r="A3383" s="17">
        <v>3</v>
      </c>
      <c r="B3383" s="19" t="s">
        <v>670</v>
      </c>
      <c r="C3383" s="20"/>
      <c r="D3383" s="5"/>
    </row>
    <row r="3384" spans="1:4" ht="18.75">
      <c r="A3384" s="17"/>
      <c r="B3384" s="60" t="s">
        <v>671</v>
      </c>
      <c r="C3384" s="16">
        <f>417.81+119.18</f>
        <v>536.99</v>
      </c>
      <c r="D3384" s="5"/>
    </row>
    <row r="3385" spans="1:4" ht="15">
      <c r="A3385" s="61"/>
      <c r="B3385" s="62"/>
      <c r="C3385" s="63"/>
      <c r="D3385" s="5"/>
    </row>
    <row r="3386" spans="1:4" ht="15">
      <c r="A3386" s="61"/>
      <c r="B3386" s="62"/>
      <c r="C3386" s="63"/>
      <c r="D3386" s="5"/>
    </row>
    <row r="3387" spans="1:4" ht="31.5">
      <c r="A3387" s="17">
        <v>4</v>
      </c>
      <c r="B3387" s="64" t="s">
        <v>625</v>
      </c>
      <c r="C3387" s="27">
        <f>C3388+C3389+C3390+C3391+C3392</f>
        <v>6428.014999999999</v>
      </c>
      <c r="D3387" s="5"/>
    </row>
    <row r="3388" spans="1:4" ht="26.25">
      <c r="A3388" s="30" t="s">
        <v>672</v>
      </c>
      <c r="B3388" s="31" t="s">
        <v>632</v>
      </c>
      <c r="C3388" s="66">
        <v>1185.16</v>
      </c>
      <c r="D3388" s="5"/>
    </row>
    <row r="3389" spans="1:4" ht="15.75">
      <c r="A3389" s="17" t="s">
        <v>673</v>
      </c>
      <c r="B3389" s="79" t="s">
        <v>699</v>
      </c>
      <c r="C3389" s="23">
        <v>18.83</v>
      </c>
      <c r="D3389" s="5"/>
    </row>
    <row r="3390" spans="1:4" ht="15.75">
      <c r="A3390" s="17" t="s">
        <v>31</v>
      </c>
      <c r="B3390" s="81" t="s">
        <v>260</v>
      </c>
      <c r="C3390" s="69">
        <f>0.4*230*12</f>
        <v>1104</v>
      </c>
      <c r="D3390" s="5"/>
    </row>
    <row r="3391" spans="1:4" ht="15.75">
      <c r="A3391" s="8" t="s">
        <v>33</v>
      </c>
      <c r="B3391" s="82" t="s">
        <v>703</v>
      </c>
      <c r="C3391" s="225">
        <f>C3381*0.15</f>
        <v>3641.1749999999997</v>
      </c>
      <c r="D3391" s="5"/>
    </row>
    <row r="3392" spans="1:4" ht="15.75">
      <c r="A3392" s="8" t="s">
        <v>34</v>
      </c>
      <c r="B3392" s="79" t="s">
        <v>35</v>
      </c>
      <c r="C3392" s="23">
        <v>478.85</v>
      </c>
      <c r="D3392" s="5"/>
    </row>
    <row r="3393" spans="1:4" ht="12.75">
      <c r="A3393" s="8"/>
      <c r="B3393" s="139"/>
      <c r="C3393" s="93"/>
      <c r="D3393" s="5"/>
    </row>
    <row r="3394" spans="1:3" ht="18">
      <c r="A3394" s="8"/>
      <c r="B3394" s="73" t="s">
        <v>261</v>
      </c>
      <c r="C3394" s="59">
        <v>16842.36</v>
      </c>
    </row>
    <row r="3395" spans="1:4" ht="18">
      <c r="A3395" s="8"/>
      <c r="B3395" s="73" t="s">
        <v>36</v>
      </c>
      <c r="C3395" s="59">
        <f>C3382-C3387</f>
        <v>17862.175</v>
      </c>
      <c r="D3395" s="75"/>
    </row>
    <row r="3396" spans="1:3" ht="18.75">
      <c r="A3396" s="8"/>
      <c r="B3396" s="76" t="s">
        <v>652</v>
      </c>
      <c r="C3396" s="59">
        <f>SUM(C3394:C3395)</f>
        <v>34704.535</v>
      </c>
    </row>
    <row r="3397" ht="54" customHeight="1"/>
    <row r="3398" spans="2:4" ht="15">
      <c r="B3398" s="196" t="s">
        <v>609</v>
      </c>
      <c r="C3398" s="196"/>
      <c r="D3398" s="196"/>
    </row>
    <row r="3399" spans="2:4" ht="15">
      <c r="B3399" s="197" t="s">
        <v>610</v>
      </c>
      <c r="C3399" s="197"/>
      <c r="D3399" s="1"/>
    </row>
    <row r="3400" spans="2:4" ht="18.75">
      <c r="B3400" s="198" t="s">
        <v>262</v>
      </c>
      <c r="C3400" s="198"/>
      <c r="D3400" s="198"/>
    </row>
    <row r="3401" spans="2:4" ht="15.75">
      <c r="B3401" s="199" t="s">
        <v>612</v>
      </c>
      <c r="C3401" s="199"/>
      <c r="D3401" s="199"/>
    </row>
    <row r="3402" spans="2:4" ht="12.75">
      <c r="B3402" s="3"/>
      <c r="C3402" s="4"/>
      <c r="D3402" s="5"/>
    </row>
    <row r="3403" spans="2:4" ht="14.25">
      <c r="B3403" s="6"/>
      <c r="C3403" s="7"/>
      <c r="D3403" s="5"/>
    </row>
    <row r="3404" spans="1:4" ht="15">
      <c r="A3404" s="8"/>
      <c r="B3404" s="9" t="s">
        <v>613</v>
      </c>
      <c r="C3404" s="10">
        <v>527.3</v>
      </c>
      <c r="D3404" s="5"/>
    </row>
    <row r="3405" spans="1:4" ht="12.75">
      <c r="A3405" s="8"/>
      <c r="B3405" s="11" t="s">
        <v>614</v>
      </c>
      <c r="C3405" s="12">
        <v>3.2</v>
      </c>
      <c r="D3405" s="13"/>
    </row>
    <row r="3406" spans="1:4" ht="12.75">
      <c r="A3406" s="8"/>
      <c r="B3406" s="14" t="s">
        <v>615</v>
      </c>
      <c r="C3406" s="12">
        <v>5.49</v>
      </c>
      <c r="D3406" s="13"/>
    </row>
    <row r="3407" spans="1:4" ht="18.75">
      <c r="A3407" s="8"/>
      <c r="B3407" s="15" t="s">
        <v>616</v>
      </c>
      <c r="C3407" s="16">
        <f>2747.87+4707.72+206.26</f>
        <v>7661.85</v>
      </c>
      <c r="D3407" s="226"/>
    </row>
    <row r="3408" spans="1:4" ht="18.75">
      <c r="A3408" s="17">
        <v>1</v>
      </c>
      <c r="B3408" s="18" t="s">
        <v>617</v>
      </c>
      <c r="C3408" s="16">
        <f>C3409+C3410</f>
        <v>59583.64</v>
      </c>
      <c r="D3408" s="5"/>
    </row>
    <row r="3409" spans="1:4" ht="15">
      <c r="A3409" s="17" t="s">
        <v>706</v>
      </c>
      <c r="B3409" s="19" t="s">
        <v>618</v>
      </c>
      <c r="C3409" s="20">
        <f>20232.96+34712.28</f>
        <v>54945.24</v>
      </c>
      <c r="D3409" s="5"/>
    </row>
    <row r="3410" spans="1:4" ht="15">
      <c r="A3410" s="17" t="s">
        <v>708</v>
      </c>
      <c r="B3410" s="19" t="s">
        <v>657</v>
      </c>
      <c r="C3410" s="20">
        <f>223*20.8</f>
        <v>4638.400000000001</v>
      </c>
      <c r="D3410" s="5"/>
    </row>
    <row r="3411" spans="1:4" ht="18">
      <c r="A3411" s="17">
        <v>2</v>
      </c>
      <c r="B3411" s="18" t="s">
        <v>620</v>
      </c>
      <c r="C3411" s="21">
        <f>C3412+C3413</f>
        <v>52722.619999999995</v>
      </c>
      <c r="D3411" s="5"/>
    </row>
    <row r="3412" spans="1:4" ht="15.75">
      <c r="A3412" s="17" t="s">
        <v>621</v>
      </c>
      <c r="B3412" s="102" t="s">
        <v>743</v>
      </c>
      <c r="C3412" s="23">
        <f>17803.45+30540.01</f>
        <v>48343.46</v>
      </c>
      <c r="D3412" s="5"/>
    </row>
    <row r="3413" spans="1:4" ht="15.75">
      <c r="A3413" s="17" t="s">
        <v>623</v>
      </c>
      <c r="B3413" s="102" t="s">
        <v>808</v>
      </c>
      <c r="C3413" s="23">
        <v>4379.16</v>
      </c>
      <c r="D3413" s="5"/>
    </row>
    <row r="3414" spans="1:4" ht="36">
      <c r="A3414" s="17">
        <v>5</v>
      </c>
      <c r="B3414" s="24" t="s">
        <v>625</v>
      </c>
      <c r="C3414" s="27">
        <f>C3415+C3417</f>
        <v>42466.386</v>
      </c>
      <c r="D3414" s="5"/>
    </row>
    <row r="3415" spans="1:4" ht="18.75">
      <c r="A3415" s="17"/>
      <c r="B3415" s="26" t="s">
        <v>626</v>
      </c>
      <c r="C3415" s="27">
        <f>C3416</f>
        <v>4472</v>
      </c>
      <c r="D3415" s="5"/>
    </row>
    <row r="3416" spans="1:4" ht="15">
      <c r="A3416" s="17" t="s">
        <v>627</v>
      </c>
      <c r="B3416" s="28" t="s">
        <v>628</v>
      </c>
      <c r="C3416" s="29">
        <f>215*20.8</f>
        <v>4472</v>
      </c>
      <c r="D3416" s="5"/>
    </row>
    <row r="3417" spans="1:4" ht="18.75">
      <c r="A3417" s="17" t="s">
        <v>629</v>
      </c>
      <c r="B3417" s="26" t="s">
        <v>630</v>
      </c>
      <c r="C3417" s="27">
        <f>C3418+C3419+C3420+C3421+C3422+C3423+C3429</f>
        <v>37994.386</v>
      </c>
      <c r="D3417" s="5"/>
    </row>
    <row r="3418" spans="1:4" ht="25.5">
      <c r="A3418" s="30" t="s">
        <v>631</v>
      </c>
      <c r="B3418" s="31" t="s">
        <v>632</v>
      </c>
      <c r="C3418" s="32">
        <v>3659.27</v>
      </c>
      <c r="D3418" s="5"/>
    </row>
    <row r="3419" spans="1:4" ht="12.75">
      <c r="A3419" s="17" t="s">
        <v>633</v>
      </c>
      <c r="B3419" s="33" t="s">
        <v>634</v>
      </c>
      <c r="C3419" s="34">
        <v>74.48</v>
      </c>
      <c r="D3419" s="5"/>
    </row>
    <row r="3420" spans="1:4" ht="12.75">
      <c r="A3420" s="17" t="s">
        <v>637</v>
      </c>
      <c r="B3420" s="35" t="s">
        <v>640</v>
      </c>
      <c r="C3420" s="34">
        <v>3532.14</v>
      </c>
      <c r="D3420" s="5"/>
    </row>
    <row r="3421" spans="1:4" ht="12.75">
      <c r="A3421" s="30" t="s">
        <v>639</v>
      </c>
      <c r="B3421" s="33" t="s">
        <v>242</v>
      </c>
      <c r="C3421" s="34">
        <f>2.4*230*12</f>
        <v>6624</v>
      </c>
      <c r="D3421" s="5"/>
    </row>
    <row r="3422" spans="1:3" ht="12.75">
      <c r="A3422" s="30" t="s">
        <v>641</v>
      </c>
      <c r="B3422" s="33" t="s">
        <v>646</v>
      </c>
      <c r="C3422" s="34">
        <f>C3409*0.15</f>
        <v>8241.786</v>
      </c>
    </row>
    <row r="3423" spans="1:3" ht="12.75">
      <c r="A3423" s="17" t="s">
        <v>643</v>
      </c>
      <c r="B3423" s="33" t="s">
        <v>648</v>
      </c>
      <c r="C3423" s="34">
        <f>C3425+C3426+C3427+C3428</f>
        <v>12722.17</v>
      </c>
    </row>
    <row r="3424" spans="1:3" ht="12.75">
      <c r="A3424" s="17"/>
      <c r="B3424" s="39" t="s">
        <v>649</v>
      </c>
      <c r="C3424" s="34"/>
    </row>
    <row r="3425" spans="1:3" ht="12.75">
      <c r="A3425" s="17"/>
      <c r="B3425" s="37" t="s">
        <v>41</v>
      </c>
      <c r="C3425" s="117">
        <v>899.36</v>
      </c>
    </row>
    <row r="3426" spans="1:4" ht="24">
      <c r="A3426" s="8"/>
      <c r="B3426" s="37" t="s">
        <v>263</v>
      </c>
      <c r="C3426" s="117">
        <v>6119.56</v>
      </c>
      <c r="D3426" s="43"/>
    </row>
    <row r="3427" spans="1:4" ht="12.75">
      <c r="A3427" s="8"/>
      <c r="B3427" s="129" t="s">
        <v>264</v>
      </c>
      <c r="C3427" s="96">
        <v>3886.26</v>
      </c>
      <c r="D3427" s="43"/>
    </row>
    <row r="3428" spans="1:4" ht="12.75">
      <c r="A3428" s="8"/>
      <c r="B3428" s="129" t="s">
        <v>265</v>
      </c>
      <c r="C3428" s="96">
        <v>1816.99</v>
      </c>
      <c r="D3428" s="43"/>
    </row>
    <row r="3429" spans="1:4" ht="24.75">
      <c r="A3429" s="8"/>
      <c r="B3429" s="177" t="s">
        <v>266</v>
      </c>
      <c r="C3429" s="46">
        <f>2585.98+554.56</f>
        <v>3140.54</v>
      </c>
      <c r="D3429" s="43"/>
    </row>
    <row r="3430" spans="1:4" ht="30">
      <c r="A3430" s="8"/>
      <c r="B3430" s="45" t="s">
        <v>664</v>
      </c>
      <c r="C3430" s="227">
        <f>C3411-C3414</f>
        <v>10256.233999999997</v>
      </c>
      <c r="D3430" s="43"/>
    </row>
    <row r="3431" spans="1:4" ht="12.75">
      <c r="A3431" s="8"/>
      <c r="B3431" s="47"/>
      <c r="C3431" s="41"/>
      <c r="D3431" s="43"/>
    </row>
    <row r="3432" spans="1:4" ht="30">
      <c r="A3432" s="8"/>
      <c r="B3432" s="45" t="s">
        <v>695</v>
      </c>
      <c r="C3432" s="50">
        <f>C3412-C3417</f>
        <v>10349.074</v>
      </c>
      <c r="D3432" s="48"/>
    </row>
    <row r="3433" spans="1:4" ht="15.75">
      <c r="A3433" s="8"/>
      <c r="B3433" s="45" t="s">
        <v>651</v>
      </c>
      <c r="C3433" s="46">
        <v>23875.3</v>
      </c>
      <c r="D3433" s="49"/>
    </row>
    <row r="3434" spans="1:4" ht="15.75">
      <c r="A3434" s="8"/>
      <c r="B3434" s="45" t="s">
        <v>652</v>
      </c>
      <c r="C3434" s="46">
        <f>SUM(C3432:C3433)</f>
        <v>34224.373999999996</v>
      </c>
      <c r="D3434" s="43"/>
    </row>
    <row r="3435" spans="1:3" ht="15.75">
      <c r="A3435" s="8"/>
      <c r="B3435" s="45" t="s">
        <v>653</v>
      </c>
      <c r="C3435" s="46">
        <f>C3411-(C3407+C3408)</f>
        <v>-14522.87000000001</v>
      </c>
    </row>
    <row r="3436" spans="1:3" ht="15.75">
      <c r="A3436" s="8"/>
      <c r="B3436" s="45" t="s">
        <v>654</v>
      </c>
      <c r="C3436" s="46">
        <v>-3157.27</v>
      </c>
    </row>
    <row r="3437" spans="1:3" ht="15.75">
      <c r="A3437" s="8"/>
      <c r="B3437" s="45" t="s">
        <v>655</v>
      </c>
      <c r="C3437" s="46">
        <v>-357.9</v>
      </c>
    </row>
    <row r="3438" ht="53.25" customHeight="1"/>
    <row r="3439" spans="2:4" ht="15">
      <c r="B3439" s="196" t="s">
        <v>609</v>
      </c>
      <c r="C3439" s="196"/>
      <c r="D3439" s="196"/>
    </row>
    <row r="3440" spans="2:4" ht="15">
      <c r="B3440" s="197" t="s">
        <v>610</v>
      </c>
      <c r="C3440" s="197"/>
      <c r="D3440" s="1"/>
    </row>
    <row r="3441" spans="2:4" ht="18.75">
      <c r="B3441" s="198" t="s">
        <v>267</v>
      </c>
      <c r="C3441" s="198"/>
      <c r="D3441" s="198"/>
    </row>
    <row r="3442" spans="2:4" ht="15.75">
      <c r="B3442" s="199" t="s">
        <v>612</v>
      </c>
      <c r="C3442" s="199"/>
      <c r="D3442" s="199"/>
    </row>
    <row r="3443" spans="2:4" ht="12.75">
      <c r="B3443" s="3"/>
      <c r="C3443" s="4"/>
      <c r="D3443" s="5"/>
    </row>
    <row r="3444" spans="2:4" ht="14.25">
      <c r="B3444" s="6"/>
      <c r="C3444" s="7"/>
      <c r="D3444" s="5"/>
    </row>
    <row r="3445" spans="1:4" ht="15.75">
      <c r="A3445" s="8"/>
      <c r="B3445" s="51" t="s">
        <v>613</v>
      </c>
      <c r="C3445" s="52">
        <v>523.3</v>
      </c>
      <c r="D3445" s="5"/>
    </row>
    <row r="3446" spans="1:4" ht="15">
      <c r="A3446" s="8"/>
      <c r="B3446" s="53" t="s">
        <v>667</v>
      </c>
      <c r="C3446" s="54">
        <v>3.2</v>
      </c>
      <c r="D3446" s="13"/>
    </row>
    <row r="3447" spans="1:4" ht="15">
      <c r="A3447" s="8"/>
      <c r="B3447" s="55" t="s">
        <v>615</v>
      </c>
      <c r="C3447" s="56">
        <v>5.49</v>
      </c>
      <c r="D3447" s="13"/>
    </row>
    <row r="3448" spans="1:4" ht="18.75">
      <c r="A3448" s="8"/>
      <c r="B3448" s="15" t="s">
        <v>616</v>
      </c>
      <c r="C3448" s="57">
        <v>13673.4</v>
      </c>
      <c r="D3448" s="13"/>
    </row>
    <row r="3449" spans="1:4" ht="18">
      <c r="A3449" s="17">
        <v>1</v>
      </c>
      <c r="B3449" s="18" t="s">
        <v>668</v>
      </c>
      <c r="C3449" s="21">
        <f>20087.68+34463.04</f>
        <v>54550.72</v>
      </c>
      <c r="D3449" s="5"/>
    </row>
    <row r="3450" spans="1:4" ht="18">
      <c r="A3450" s="17">
        <v>2</v>
      </c>
      <c r="B3450" s="58" t="s">
        <v>669</v>
      </c>
      <c r="C3450" s="59">
        <f>(C3448+C3449)-C3452</f>
        <v>55894.469999999994</v>
      </c>
      <c r="D3450" s="5"/>
    </row>
    <row r="3451" spans="1:4" ht="15">
      <c r="A3451" s="17">
        <v>3</v>
      </c>
      <c r="B3451" s="19" t="s">
        <v>670</v>
      </c>
      <c r="C3451" s="20"/>
      <c r="D3451" s="5"/>
    </row>
    <row r="3452" spans="1:4" ht="15">
      <c r="A3452" s="17"/>
      <c r="B3452" s="60" t="s">
        <v>671</v>
      </c>
      <c r="C3452" s="20">
        <v>12329.65</v>
      </c>
      <c r="D3452" s="5"/>
    </row>
    <row r="3453" spans="1:4" ht="15">
      <c r="A3453" s="61"/>
      <c r="B3453" s="62"/>
      <c r="C3453" s="63"/>
      <c r="D3453" s="5"/>
    </row>
    <row r="3454" spans="1:4" ht="15">
      <c r="A3454" s="61"/>
      <c r="B3454" s="62"/>
      <c r="C3454" s="63"/>
      <c r="D3454" s="5"/>
    </row>
    <row r="3455" spans="1:4" ht="31.5">
      <c r="A3455" s="17">
        <v>4</v>
      </c>
      <c r="B3455" s="64" t="s">
        <v>625</v>
      </c>
      <c r="C3455" s="27">
        <f>C3456+C3457+C3458+C3459+C3460+C3461+C3464</f>
        <v>21631.978</v>
      </c>
      <c r="D3455" s="5"/>
    </row>
    <row r="3456" spans="1:4" ht="26.25">
      <c r="A3456" s="30" t="s">
        <v>672</v>
      </c>
      <c r="B3456" s="31" t="s">
        <v>632</v>
      </c>
      <c r="C3456" s="66">
        <v>1247.84</v>
      </c>
      <c r="D3456" s="5"/>
    </row>
    <row r="3457" spans="1:4" ht="15.75">
      <c r="A3457" s="17" t="s">
        <v>697</v>
      </c>
      <c r="B3457" s="79" t="s">
        <v>268</v>
      </c>
      <c r="C3457" s="23">
        <v>2271.06</v>
      </c>
      <c r="D3457" s="5"/>
    </row>
    <row r="3458" spans="1:4" ht="15.75">
      <c r="A3458" s="17" t="s">
        <v>673</v>
      </c>
      <c r="B3458" s="79" t="s">
        <v>699</v>
      </c>
      <c r="C3458" s="23">
        <v>73.92</v>
      </c>
      <c r="D3458" s="5"/>
    </row>
    <row r="3459" spans="1:4" ht="15.75">
      <c r="A3459" s="17" t="s">
        <v>676</v>
      </c>
      <c r="B3459" s="81" t="s">
        <v>269</v>
      </c>
      <c r="C3459" s="69">
        <f>2.8*230*12</f>
        <v>7728</v>
      </c>
      <c r="D3459" s="5"/>
    </row>
    <row r="3460" spans="1:4" ht="15.75">
      <c r="A3460" s="17" t="s">
        <v>31</v>
      </c>
      <c r="B3460" s="82" t="s">
        <v>703</v>
      </c>
      <c r="C3460" s="71">
        <f>C3449*0.15</f>
        <v>8182.608</v>
      </c>
      <c r="D3460" s="5"/>
    </row>
    <row r="3461" spans="1:4" ht="15.75">
      <c r="A3461" s="213" t="s">
        <v>33</v>
      </c>
      <c r="B3461" s="79" t="s">
        <v>702</v>
      </c>
      <c r="C3461" s="23">
        <f>C3462+C3463</f>
        <v>2128.55</v>
      </c>
      <c r="D3461" s="5"/>
    </row>
    <row r="3462" spans="1:4" ht="12.75">
      <c r="A3462" s="8"/>
      <c r="B3462" s="108" t="s">
        <v>270</v>
      </c>
      <c r="C3462" s="41">
        <v>1168.33</v>
      </c>
      <c r="D3462" s="5"/>
    </row>
    <row r="3463" spans="1:4" ht="12.75">
      <c r="A3463" s="8"/>
      <c r="B3463" s="130" t="s">
        <v>271</v>
      </c>
      <c r="C3463" s="41">
        <v>960.22</v>
      </c>
      <c r="D3463" s="5"/>
    </row>
    <row r="3464" spans="1:4" ht="15.75">
      <c r="A3464" s="8"/>
      <c r="B3464" s="82"/>
      <c r="C3464" s="71"/>
      <c r="D3464" s="5"/>
    </row>
    <row r="3465" spans="1:4" ht="15.75">
      <c r="A3465" s="8"/>
      <c r="B3465" s="83"/>
      <c r="C3465" s="23"/>
      <c r="D3465" s="5"/>
    </row>
    <row r="3466" spans="1:3" ht="18">
      <c r="A3466" s="8"/>
      <c r="B3466" s="73" t="s">
        <v>683</v>
      </c>
      <c r="C3466" s="74">
        <v>67910.95</v>
      </c>
    </row>
    <row r="3467" spans="1:4" ht="18">
      <c r="A3467" s="8"/>
      <c r="B3467" s="73" t="s">
        <v>167</v>
      </c>
      <c r="C3467" s="59">
        <f>C3450-C3455</f>
        <v>34262.492</v>
      </c>
      <c r="D3467" s="75"/>
    </row>
    <row r="3468" spans="1:3" ht="18.75">
      <c r="A3468" s="8"/>
      <c r="B3468" s="76" t="s">
        <v>652</v>
      </c>
      <c r="C3468" s="74">
        <f>SUM(C3466:C3467)</f>
        <v>102173.442</v>
      </c>
    </row>
    <row r="3469" ht="53.25" customHeight="1"/>
    <row r="3470" spans="2:4" ht="15">
      <c r="B3470" s="196" t="s">
        <v>609</v>
      </c>
      <c r="C3470" s="196"/>
      <c r="D3470" s="196"/>
    </row>
    <row r="3471" spans="2:4" ht="15">
      <c r="B3471" s="197" t="s">
        <v>610</v>
      </c>
      <c r="C3471" s="197"/>
      <c r="D3471" s="1"/>
    </row>
    <row r="3472" spans="2:4" ht="18.75">
      <c r="B3472" s="198" t="s">
        <v>272</v>
      </c>
      <c r="C3472" s="198"/>
      <c r="D3472" s="198"/>
    </row>
    <row r="3473" spans="2:4" ht="15.75">
      <c r="B3473" s="199" t="s">
        <v>612</v>
      </c>
      <c r="C3473" s="199"/>
      <c r="D3473" s="199"/>
    </row>
    <row r="3474" spans="2:4" ht="12.75">
      <c r="B3474" s="3"/>
      <c r="C3474" s="4"/>
      <c r="D3474" s="5"/>
    </row>
    <row r="3475" spans="2:4" ht="14.25">
      <c r="B3475" s="6"/>
      <c r="C3475" s="7"/>
      <c r="D3475" s="5"/>
    </row>
    <row r="3476" spans="1:4" ht="15.75">
      <c r="A3476" s="8"/>
      <c r="B3476" s="51" t="s">
        <v>613</v>
      </c>
      <c r="C3476" s="52">
        <v>228.56</v>
      </c>
      <c r="D3476" s="5"/>
    </row>
    <row r="3477" spans="1:4" ht="15">
      <c r="A3477" s="8"/>
      <c r="B3477" s="53" t="s">
        <v>667</v>
      </c>
      <c r="C3477" s="54">
        <v>3.2</v>
      </c>
      <c r="D3477" s="13"/>
    </row>
    <row r="3478" spans="1:4" ht="15">
      <c r="A3478" s="8"/>
      <c r="B3478" s="55" t="s">
        <v>615</v>
      </c>
      <c r="C3478" s="56">
        <v>5.49</v>
      </c>
      <c r="D3478" s="13"/>
    </row>
    <row r="3479" spans="1:4" ht="18.75">
      <c r="A3479" s="8"/>
      <c r="B3479" s="15" t="s">
        <v>616</v>
      </c>
      <c r="C3479" s="57">
        <f>2472.1+4233.69</f>
        <v>6705.789999999999</v>
      </c>
      <c r="D3479" s="13"/>
    </row>
    <row r="3480" spans="1:4" ht="18">
      <c r="A3480" s="17">
        <v>1</v>
      </c>
      <c r="B3480" s="18" t="s">
        <v>668</v>
      </c>
      <c r="C3480" s="21">
        <f>8776.68+15057.6</f>
        <v>23834.28</v>
      </c>
      <c r="D3480" s="5"/>
    </row>
    <row r="3481" spans="1:4" ht="18">
      <c r="A3481" s="17">
        <v>2</v>
      </c>
      <c r="B3481" s="58" t="s">
        <v>669</v>
      </c>
      <c r="C3481" s="59">
        <f>(C3479+C3480)-C3483</f>
        <v>16482.95</v>
      </c>
      <c r="D3481" s="5"/>
    </row>
    <row r="3482" spans="1:4" ht="15">
      <c r="A3482" s="17">
        <v>3</v>
      </c>
      <c r="B3482" s="19" t="s">
        <v>670</v>
      </c>
      <c r="C3482" s="20"/>
      <c r="D3482" s="5"/>
    </row>
    <row r="3483" spans="1:4" ht="15">
      <c r="A3483" s="17"/>
      <c r="B3483" s="60" t="s">
        <v>671</v>
      </c>
      <c r="C3483" s="20">
        <f>5178.89+8878.23</f>
        <v>14057.119999999999</v>
      </c>
      <c r="D3483" s="5"/>
    </row>
    <row r="3484" spans="1:4" ht="15">
      <c r="A3484" s="61"/>
      <c r="B3484" s="62"/>
      <c r="C3484" s="63"/>
      <c r="D3484" s="5"/>
    </row>
    <row r="3485" spans="1:4" ht="31.5">
      <c r="A3485" s="17">
        <v>4</v>
      </c>
      <c r="B3485" s="64" t="s">
        <v>625</v>
      </c>
      <c r="C3485" s="27">
        <f>C3486+C3487+C3488+C3489+C3490+C3491+C3492</f>
        <v>10562.002</v>
      </c>
      <c r="D3485" s="5"/>
    </row>
    <row r="3486" spans="1:4" ht="26.25">
      <c r="A3486" s="30" t="s">
        <v>672</v>
      </c>
      <c r="B3486" s="31" t="s">
        <v>632</v>
      </c>
      <c r="C3486" s="66">
        <v>752.72</v>
      </c>
      <c r="D3486" s="5"/>
    </row>
    <row r="3487" spans="1:4" ht="15.75">
      <c r="A3487" s="17" t="s">
        <v>697</v>
      </c>
      <c r="B3487" s="79" t="s">
        <v>273</v>
      </c>
      <c r="C3487" s="23">
        <v>410.13</v>
      </c>
      <c r="D3487" s="5"/>
    </row>
    <row r="3488" spans="1:4" ht="15.75">
      <c r="A3488" s="17" t="s">
        <v>673</v>
      </c>
      <c r="B3488" s="79" t="s">
        <v>699</v>
      </c>
      <c r="C3488" s="23">
        <v>16.14</v>
      </c>
      <c r="D3488" s="5"/>
    </row>
    <row r="3489" spans="1:4" ht="15.75">
      <c r="A3489" s="17" t="s">
        <v>676</v>
      </c>
      <c r="B3489" s="81" t="s">
        <v>274</v>
      </c>
      <c r="C3489" s="69">
        <f>1.2*230*12</f>
        <v>3312</v>
      </c>
      <c r="D3489" s="5"/>
    </row>
    <row r="3490" spans="1:4" ht="15.75">
      <c r="A3490" s="17" t="s">
        <v>31</v>
      </c>
      <c r="B3490" s="82" t="s">
        <v>703</v>
      </c>
      <c r="C3490" s="71">
        <f>C3480*0.15</f>
        <v>3575.142</v>
      </c>
      <c r="D3490" s="5"/>
    </row>
    <row r="3491" spans="1:4" ht="15.75">
      <c r="A3491" s="213" t="s">
        <v>33</v>
      </c>
      <c r="B3491" s="79" t="s">
        <v>702</v>
      </c>
      <c r="C3491" s="23">
        <v>2495.87</v>
      </c>
      <c r="D3491" s="5"/>
    </row>
    <row r="3492" spans="1:4" ht="15.75">
      <c r="A3492" s="8"/>
      <c r="B3492" s="82"/>
      <c r="C3492" s="71"/>
      <c r="D3492" s="5"/>
    </row>
    <row r="3493" spans="1:3" ht="18">
      <c r="A3493" s="8"/>
      <c r="B3493" s="73" t="s">
        <v>683</v>
      </c>
      <c r="C3493" s="74">
        <v>24812.34</v>
      </c>
    </row>
    <row r="3494" spans="1:4" ht="18">
      <c r="A3494" s="8"/>
      <c r="B3494" s="73" t="s">
        <v>167</v>
      </c>
      <c r="C3494" s="59">
        <f>C3481-C3485</f>
        <v>5920.948</v>
      </c>
      <c r="D3494" s="75"/>
    </row>
    <row r="3495" spans="1:3" ht="18.75">
      <c r="A3495" s="8"/>
      <c r="B3495" s="76" t="s">
        <v>558</v>
      </c>
      <c r="C3495" s="74">
        <f>SUM(C3493:C3494)</f>
        <v>30733.288</v>
      </c>
    </row>
    <row r="3496" ht="52.5" customHeight="1"/>
    <row r="3497" spans="2:4" ht="15">
      <c r="B3497" s="196" t="s">
        <v>609</v>
      </c>
      <c r="C3497" s="196"/>
      <c r="D3497" s="196"/>
    </row>
    <row r="3498" spans="2:4" ht="15">
      <c r="B3498" s="197" t="s">
        <v>610</v>
      </c>
      <c r="C3498" s="197"/>
      <c r="D3498" s="1"/>
    </row>
    <row r="3499" spans="2:4" ht="18.75">
      <c r="B3499" s="198" t="s">
        <v>275</v>
      </c>
      <c r="C3499" s="198"/>
      <c r="D3499" s="198"/>
    </row>
    <row r="3500" spans="2:4" ht="15.75">
      <c r="B3500" s="199" t="s">
        <v>612</v>
      </c>
      <c r="C3500" s="199"/>
      <c r="D3500" s="199"/>
    </row>
    <row r="3501" spans="2:4" ht="12.75">
      <c r="B3501" s="3"/>
      <c r="C3501" s="4"/>
      <c r="D3501" s="5"/>
    </row>
    <row r="3502" spans="2:4" ht="14.25">
      <c r="B3502" s="6"/>
      <c r="C3502" s="7"/>
      <c r="D3502" s="5"/>
    </row>
    <row r="3503" spans="1:4" ht="15.75">
      <c r="A3503" s="8"/>
      <c r="B3503" s="51" t="s">
        <v>613</v>
      </c>
      <c r="C3503" s="52">
        <v>473.14</v>
      </c>
      <c r="D3503" s="5"/>
    </row>
    <row r="3504" spans="1:4" ht="15">
      <c r="A3504" s="8"/>
      <c r="B3504" s="53" t="s">
        <v>667</v>
      </c>
      <c r="C3504" s="54">
        <v>3.74</v>
      </c>
      <c r="D3504" s="13"/>
    </row>
    <row r="3505" spans="1:4" ht="15">
      <c r="A3505" s="8"/>
      <c r="B3505" s="55" t="s">
        <v>615</v>
      </c>
      <c r="C3505" s="56">
        <v>6.42</v>
      </c>
      <c r="D3505" s="13"/>
    </row>
    <row r="3506" spans="1:4" ht="18.75">
      <c r="A3506" s="8"/>
      <c r="B3506" s="15" t="s">
        <v>616</v>
      </c>
      <c r="C3506" s="57">
        <f>3600.41+6170.32</f>
        <v>9770.73</v>
      </c>
      <c r="D3506" s="13"/>
    </row>
    <row r="3507" spans="1:4" ht="18">
      <c r="A3507" s="17">
        <v>1</v>
      </c>
      <c r="B3507" s="18" t="s">
        <v>668</v>
      </c>
      <c r="C3507" s="21">
        <f>21250.44+36478.44</f>
        <v>57728.880000000005</v>
      </c>
      <c r="D3507" s="5"/>
    </row>
    <row r="3508" spans="1:4" ht="18">
      <c r="A3508" s="17">
        <v>2</v>
      </c>
      <c r="B3508" s="58" t="s">
        <v>669</v>
      </c>
      <c r="C3508" s="59">
        <f>(C3506+C3507)-C3510</f>
        <v>52086.17</v>
      </c>
      <c r="D3508" s="5"/>
    </row>
    <row r="3509" spans="1:4" ht="15">
      <c r="A3509" s="17">
        <v>3</v>
      </c>
      <c r="B3509" s="19" t="s">
        <v>670</v>
      </c>
      <c r="C3509" s="20"/>
      <c r="D3509" s="5"/>
    </row>
    <row r="3510" spans="1:4" ht="15">
      <c r="A3510" s="17"/>
      <c r="B3510" s="60" t="s">
        <v>671</v>
      </c>
      <c r="C3510" s="20">
        <f>5676.94+9736.5</f>
        <v>15413.439999999999</v>
      </c>
      <c r="D3510" s="5"/>
    </row>
    <row r="3511" spans="1:4" ht="15">
      <c r="A3511" s="61"/>
      <c r="B3511" s="62"/>
      <c r="C3511" s="63"/>
      <c r="D3511" s="5"/>
    </row>
    <row r="3512" spans="1:4" ht="31.5">
      <c r="A3512" s="17">
        <v>4</v>
      </c>
      <c r="B3512" s="64" t="s">
        <v>625</v>
      </c>
      <c r="C3512" s="27">
        <f>C3513+C3514+C3515+C3516+C3517+C3518+C3519</f>
        <v>53502.33200000001</v>
      </c>
      <c r="D3512" s="5"/>
    </row>
    <row r="3513" spans="1:4" ht="26.25">
      <c r="A3513" s="30" t="s">
        <v>672</v>
      </c>
      <c r="B3513" s="31" t="s">
        <v>632</v>
      </c>
      <c r="C3513" s="66">
        <v>15290.41</v>
      </c>
      <c r="D3513" s="5"/>
    </row>
    <row r="3514" spans="1:4" ht="15.75">
      <c r="A3514" s="17" t="s">
        <v>697</v>
      </c>
      <c r="B3514" s="79" t="s">
        <v>276</v>
      </c>
      <c r="C3514" s="23">
        <v>800.73</v>
      </c>
      <c r="D3514" s="5"/>
    </row>
    <row r="3515" spans="1:4" ht="15.75">
      <c r="A3515" s="17"/>
      <c r="B3515" s="83" t="s">
        <v>277</v>
      </c>
      <c r="C3515" s="23">
        <v>13008.83</v>
      </c>
      <c r="D3515" s="5"/>
    </row>
    <row r="3516" spans="1:4" ht="15.75">
      <c r="A3516" s="17" t="s">
        <v>673</v>
      </c>
      <c r="B3516" s="79" t="s">
        <v>699</v>
      </c>
      <c r="C3516" s="23">
        <v>32.99</v>
      </c>
      <c r="D3516" s="5"/>
    </row>
    <row r="3517" spans="1:4" ht="15.75">
      <c r="A3517" s="17" t="s">
        <v>676</v>
      </c>
      <c r="B3517" s="81" t="s">
        <v>106</v>
      </c>
      <c r="C3517" s="69">
        <f>2.5*230*12</f>
        <v>6900</v>
      </c>
      <c r="D3517" s="5"/>
    </row>
    <row r="3518" spans="1:4" ht="15.75">
      <c r="A3518" s="17" t="s">
        <v>31</v>
      </c>
      <c r="B3518" s="82" t="s">
        <v>703</v>
      </c>
      <c r="C3518" s="71">
        <f>C3507*0.15</f>
        <v>8659.332</v>
      </c>
      <c r="D3518" s="5"/>
    </row>
    <row r="3519" spans="1:4" ht="15.75">
      <c r="A3519" s="213" t="s">
        <v>33</v>
      </c>
      <c r="B3519" s="79" t="s">
        <v>553</v>
      </c>
      <c r="C3519" s="23">
        <v>8810.04</v>
      </c>
      <c r="D3519" s="5"/>
    </row>
    <row r="3520" spans="1:4" ht="12.75">
      <c r="A3520" s="8"/>
      <c r="B3520" s="228"/>
      <c r="C3520" s="229"/>
      <c r="D3520" s="5"/>
    </row>
    <row r="3521" spans="1:3" ht="18">
      <c r="A3521" s="8"/>
      <c r="B3521" s="73" t="s">
        <v>683</v>
      </c>
      <c r="C3521" s="74">
        <v>-8830.79</v>
      </c>
    </row>
    <row r="3522" spans="1:4" ht="18">
      <c r="A3522" s="8"/>
      <c r="B3522" s="73" t="s">
        <v>167</v>
      </c>
      <c r="C3522" s="59">
        <f>C3508-C3512</f>
        <v>-1416.1620000000112</v>
      </c>
      <c r="D3522" s="75"/>
    </row>
    <row r="3523" spans="1:3" ht="18.75">
      <c r="A3523" s="8"/>
      <c r="B3523" s="76" t="s">
        <v>558</v>
      </c>
      <c r="C3523" s="59">
        <f>SUM(C3521:C3522)</f>
        <v>-10246.952000000012</v>
      </c>
    </row>
    <row r="3524" ht="52.5" customHeight="1"/>
    <row r="3525" spans="2:4" ht="15">
      <c r="B3525" s="196" t="s">
        <v>609</v>
      </c>
      <c r="C3525" s="196"/>
      <c r="D3525" s="196"/>
    </row>
    <row r="3526" spans="2:4" ht="15">
      <c r="B3526" s="197" t="s">
        <v>610</v>
      </c>
      <c r="C3526" s="197"/>
      <c r="D3526" s="1"/>
    </row>
    <row r="3527" spans="2:4" ht="18.75">
      <c r="B3527" s="198" t="s">
        <v>278</v>
      </c>
      <c r="C3527" s="198"/>
      <c r="D3527" s="198"/>
    </row>
    <row r="3528" spans="2:4" ht="15.75">
      <c r="B3528" s="199" t="s">
        <v>279</v>
      </c>
      <c r="C3528" s="199"/>
      <c r="D3528" s="199"/>
    </row>
    <row r="3529" spans="2:4" ht="12.75">
      <c r="B3529" s="3"/>
      <c r="C3529" s="4"/>
      <c r="D3529" s="5"/>
    </row>
    <row r="3530" spans="2:4" ht="14.25">
      <c r="B3530" s="6"/>
      <c r="C3530" s="7"/>
      <c r="D3530" s="5"/>
    </row>
    <row r="3531" spans="1:4" ht="15.75">
      <c r="A3531" s="8"/>
      <c r="B3531" s="51" t="s">
        <v>613</v>
      </c>
      <c r="C3531" s="52">
        <v>37.6</v>
      </c>
      <c r="D3531" s="5"/>
    </row>
    <row r="3532" spans="1:4" ht="15">
      <c r="A3532" s="8"/>
      <c r="B3532" s="53" t="s">
        <v>667</v>
      </c>
      <c r="C3532" s="54">
        <v>3.2</v>
      </c>
      <c r="D3532" s="13"/>
    </row>
    <row r="3533" spans="1:4" ht="15">
      <c r="A3533" s="8"/>
      <c r="B3533" s="55" t="s">
        <v>615</v>
      </c>
      <c r="C3533" s="56">
        <v>5.49</v>
      </c>
      <c r="D3533" s="13"/>
    </row>
    <row r="3534" spans="1:4" ht="18.75">
      <c r="A3534" s="8"/>
      <c r="B3534" s="15" t="s">
        <v>616</v>
      </c>
      <c r="C3534" s="57">
        <v>0</v>
      </c>
      <c r="D3534" s="13"/>
    </row>
    <row r="3535" spans="1:4" ht="18">
      <c r="A3535" s="17">
        <v>1</v>
      </c>
      <c r="B3535" s="18" t="s">
        <v>668</v>
      </c>
      <c r="C3535" s="21">
        <f>1203.2+2064.2</f>
        <v>3267.3999999999996</v>
      </c>
      <c r="D3535" s="5"/>
    </row>
    <row r="3536" spans="1:4" ht="18">
      <c r="A3536" s="17">
        <v>2</v>
      </c>
      <c r="B3536" s="58" t="s">
        <v>669</v>
      </c>
      <c r="C3536" s="59">
        <f>(C3534+C3535)-C3538</f>
        <v>1470.3999999999996</v>
      </c>
      <c r="D3536" s="5"/>
    </row>
    <row r="3537" spans="1:4" ht="15">
      <c r="A3537" s="17">
        <v>3</v>
      </c>
      <c r="B3537" s="19" t="s">
        <v>670</v>
      </c>
      <c r="C3537" s="20"/>
      <c r="D3537" s="5"/>
    </row>
    <row r="3538" spans="1:4" ht="15">
      <c r="A3538" s="17"/>
      <c r="B3538" s="60" t="s">
        <v>671</v>
      </c>
      <c r="C3538" s="20">
        <f>661.74+1135.26</f>
        <v>1797</v>
      </c>
      <c r="D3538" s="5"/>
    </row>
    <row r="3539" spans="1:4" ht="15">
      <c r="A3539" s="61"/>
      <c r="B3539" s="62"/>
      <c r="C3539" s="63"/>
      <c r="D3539" s="5"/>
    </row>
    <row r="3540" spans="1:4" ht="31.5">
      <c r="A3540" s="17">
        <v>4</v>
      </c>
      <c r="B3540" s="64" t="s">
        <v>625</v>
      </c>
      <c r="C3540" s="27">
        <f>C3541+C3542+C3543+C3544</f>
        <v>1626.33</v>
      </c>
      <c r="D3540" s="5"/>
    </row>
    <row r="3541" spans="1:4" ht="26.25">
      <c r="A3541" s="30" t="s">
        <v>672</v>
      </c>
      <c r="B3541" s="31" t="s">
        <v>632</v>
      </c>
      <c r="C3541" s="66">
        <v>52.6</v>
      </c>
      <c r="D3541" s="5"/>
    </row>
    <row r="3542" spans="1:4" ht="15.75">
      <c r="A3542" s="17" t="s">
        <v>676</v>
      </c>
      <c r="B3542" s="81" t="s">
        <v>280</v>
      </c>
      <c r="C3542" s="69">
        <f>0.3*230*10</f>
        <v>690</v>
      </c>
      <c r="D3542" s="5"/>
    </row>
    <row r="3543" spans="1:4" ht="15.75">
      <c r="A3543" s="17" t="s">
        <v>31</v>
      </c>
      <c r="B3543" s="82" t="s">
        <v>703</v>
      </c>
      <c r="C3543" s="71">
        <f>C3535*0.15</f>
        <v>490.1099999999999</v>
      </c>
      <c r="D3543" s="5"/>
    </row>
    <row r="3544" spans="1:4" ht="15.75">
      <c r="A3544" s="213" t="s">
        <v>33</v>
      </c>
      <c r="B3544" s="79" t="s">
        <v>553</v>
      </c>
      <c r="C3544" s="23">
        <v>393.62</v>
      </c>
      <c r="D3544" s="5"/>
    </row>
    <row r="3545" spans="1:4" ht="12.75">
      <c r="A3545" s="8"/>
      <c r="B3545" s="223"/>
      <c r="C3545" s="96"/>
      <c r="D3545" s="5"/>
    </row>
    <row r="3546" spans="1:3" ht="18">
      <c r="A3546" s="8"/>
      <c r="B3546" s="73" t="s">
        <v>683</v>
      </c>
      <c r="C3546" s="74">
        <v>0</v>
      </c>
    </row>
    <row r="3547" spans="1:4" ht="18">
      <c r="A3547" s="8"/>
      <c r="B3547" s="73" t="s">
        <v>167</v>
      </c>
      <c r="C3547" s="59">
        <f>C3536-C3540</f>
        <v>-155.9300000000003</v>
      </c>
      <c r="D3547" s="75"/>
    </row>
    <row r="3548" spans="1:3" ht="18.75">
      <c r="A3548" s="8"/>
      <c r="B3548" s="76" t="s">
        <v>558</v>
      </c>
      <c r="C3548" s="59">
        <f>SUM(C3546:C3547)</f>
        <v>-155.9300000000003</v>
      </c>
    </row>
    <row r="3549" ht="53.25" customHeight="1"/>
    <row r="3550" spans="2:4" ht="15">
      <c r="B3550" s="196" t="s">
        <v>609</v>
      </c>
      <c r="C3550" s="196"/>
      <c r="D3550" s="196"/>
    </row>
    <row r="3551" spans="2:4" ht="15">
      <c r="B3551" s="197" t="s">
        <v>610</v>
      </c>
      <c r="C3551" s="197"/>
      <c r="D3551" s="1"/>
    </row>
    <row r="3552" spans="2:4" ht="18.75">
      <c r="B3552" s="198" t="s">
        <v>281</v>
      </c>
      <c r="C3552" s="198"/>
      <c r="D3552" s="198"/>
    </row>
    <row r="3553" spans="2:4" ht="15.75">
      <c r="B3553" s="199" t="s">
        <v>279</v>
      </c>
      <c r="C3553" s="199"/>
      <c r="D3553" s="199"/>
    </row>
    <row r="3554" spans="2:4" ht="12.75">
      <c r="B3554" s="3"/>
      <c r="C3554" s="4"/>
      <c r="D3554" s="5"/>
    </row>
    <row r="3555" spans="2:4" ht="14.25">
      <c r="B3555" s="6"/>
      <c r="C3555" s="7"/>
      <c r="D3555" s="5"/>
    </row>
    <row r="3556" spans="1:4" ht="15.75">
      <c r="A3556" s="8"/>
      <c r="B3556" s="51" t="s">
        <v>613</v>
      </c>
      <c r="C3556" s="52">
        <v>76.9</v>
      </c>
      <c r="D3556" s="5"/>
    </row>
    <row r="3557" spans="1:4" ht="15">
      <c r="A3557" s="8"/>
      <c r="B3557" s="53" t="s">
        <v>667</v>
      </c>
      <c r="C3557" s="54">
        <v>3.2</v>
      </c>
      <c r="D3557" s="13"/>
    </row>
    <row r="3558" spans="1:4" ht="15">
      <c r="A3558" s="8"/>
      <c r="B3558" s="55" t="s">
        <v>615</v>
      </c>
      <c r="C3558" s="56">
        <v>5.49</v>
      </c>
      <c r="D3558" s="13"/>
    </row>
    <row r="3559" spans="1:4" ht="18.75">
      <c r="A3559" s="8"/>
      <c r="B3559" s="15" t="s">
        <v>616</v>
      </c>
      <c r="C3559" s="57">
        <v>0</v>
      </c>
      <c r="D3559" s="13"/>
    </row>
    <row r="3560" spans="1:4" ht="18">
      <c r="A3560" s="17">
        <v>1</v>
      </c>
      <c r="B3560" s="18" t="s">
        <v>668</v>
      </c>
      <c r="C3560" s="21">
        <f>2460.8+4221.9</f>
        <v>6682.7</v>
      </c>
      <c r="D3560" s="5"/>
    </row>
    <row r="3561" spans="1:4" ht="18">
      <c r="A3561" s="17">
        <v>2</v>
      </c>
      <c r="B3561" s="58" t="s">
        <v>669</v>
      </c>
      <c r="C3561" s="59">
        <f>(C3559+C3560)-C3563</f>
        <v>4838.17</v>
      </c>
      <c r="D3561" s="5"/>
    </row>
    <row r="3562" spans="1:4" ht="15">
      <c r="A3562" s="17">
        <v>3</v>
      </c>
      <c r="B3562" s="19" t="s">
        <v>670</v>
      </c>
      <c r="C3562" s="20"/>
      <c r="D3562" s="5"/>
    </row>
    <row r="3563" spans="1:4" ht="15">
      <c r="A3563" s="17"/>
      <c r="B3563" s="60" t="s">
        <v>671</v>
      </c>
      <c r="C3563" s="20">
        <f>679.22+1165.31</f>
        <v>1844.53</v>
      </c>
      <c r="D3563" s="5"/>
    </row>
    <row r="3564" spans="1:4" ht="15">
      <c r="A3564" s="61"/>
      <c r="B3564" s="62"/>
      <c r="C3564" s="63"/>
      <c r="D3564" s="5"/>
    </row>
    <row r="3565" spans="1:4" ht="31.5">
      <c r="A3565" s="17">
        <v>4</v>
      </c>
      <c r="B3565" s="64" t="s">
        <v>625</v>
      </c>
      <c r="C3565" s="27">
        <f>C3566+C3567+C3568+C3569</f>
        <v>10672.565</v>
      </c>
      <c r="D3565" s="5"/>
    </row>
    <row r="3566" spans="1:4" ht="26.25">
      <c r="A3566" s="30" t="s">
        <v>672</v>
      </c>
      <c r="B3566" s="31" t="s">
        <v>632</v>
      </c>
      <c r="C3566" s="66">
        <v>107.7</v>
      </c>
      <c r="D3566" s="5"/>
    </row>
    <row r="3567" spans="1:4" ht="15.75">
      <c r="A3567" s="17" t="s">
        <v>676</v>
      </c>
      <c r="B3567" s="81" t="s">
        <v>282</v>
      </c>
      <c r="C3567" s="69">
        <f>0.7*230*10</f>
        <v>1610</v>
      </c>
      <c r="D3567" s="5"/>
    </row>
    <row r="3568" spans="1:4" ht="15.75">
      <c r="A3568" s="17" t="s">
        <v>31</v>
      </c>
      <c r="B3568" s="82" t="s">
        <v>703</v>
      </c>
      <c r="C3568" s="71">
        <f>C3560*0.15</f>
        <v>1002.405</v>
      </c>
      <c r="D3568" s="5"/>
    </row>
    <row r="3569" spans="1:4" ht="15.75">
      <c r="A3569" s="213" t="s">
        <v>33</v>
      </c>
      <c r="B3569" s="79" t="s">
        <v>553</v>
      </c>
      <c r="C3569" s="23">
        <v>7952.46</v>
      </c>
      <c r="D3569" s="5"/>
    </row>
    <row r="3570" spans="1:4" ht="12.75">
      <c r="A3570" s="8"/>
      <c r="B3570" s="223"/>
      <c r="C3570" s="96"/>
      <c r="D3570" s="5"/>
    </row>
    <row r="3571" spans="1:3" ht="18">
      <c r="A3571" s="8"/>
      <c r="B3571" s="73" t="s">
        <v>683</v>
      </c>
      <c r="C3571" s="74">
        <v>0</v>
      </c>
    </row>
    <row r="3572" spans="1:4" ht="18">
      <c r="A3572" s="8"/>
      <c r="B3572" s="73" t="s">
        <v>167</v>
      </c>
      <c r="C3572" s="59">
        <f>C3561-C3565</f>
        <v>-5834.395</v>
      </c>
      <c r="D3572" s="75"/>
    </row>
    <row r="3573" spans="1:3" ht="18.75">
      <c r="A3573" s="8"/>
      <c r="B3573" s="76" t="s">
        <v>558</v>
      </c>
      <c r="C3573" s="59">
        <f>SUM(C3571:C3572)</f>
        <v>-5834.395</v>
      </c>
    </row>
    <row r="3574" ht="53.25" customHeight="1"/>
    <row r="3575" spans="2:4" ht="15">
      <c r="B3575" s="196" t="s">
        <v>609</v>
      </c>
      <c r="C3575" s="196"/>
      <c r="D3575" s="196"/>
    </row>
    <row r="3576" spans="2:4" ht="15">
      <c r="B3576" s="197" t="s">
        <v>610</v>
      </c>
      <c r="C3576" s="197"/>
      <c r="D3576" s="1"/>
    </row>
    <row r="3577" spans="2:4" ht="18.75">
      <c r="B3577" s="198" t="s">
        <v>283</v>
      </c>
      <c r="C3577" s="198"/>
      <c r="D3577" s="198"/>
    </row>
    <row r="3578" spans="2:4" ht="15.75">
      <c r="B3578" s="199" t="s">
        <v>612</v>
      </c>
      <c r="C3578" s="199"/>
      <c r="D3578" s="199"/>
    </row>
    <row r="3579" spans="2:4" ht="12.75">
      <c r="B3579" s="3"/>
      <c r="C3579" s="4"/>
      <c r="D3579" s="5"/>
    </row>
    <row r="3580" spans="2:4" ht="14.25">
      <c r="B3580" s="6"/>
      <c r="C3580" s="7"/>
      <c r="D3580" s="5"/>
    </row>
    <row r="3581" spans="1:4" ht="15.75">
      <c r="A3581" s="8"/>
      <c r="B3581" s="51" t="s">
        <v>613</v>
      </c>
      <c r="C3581" s="52">
        <v>220.6</v>
      </c>
      <c r="D3581" s="5"/>
    </row>
    <row r="3582" spans="1:4" ht="15">
      <c r="A3582" s="8"/>
      <c r="B3582" s="53" t="s">
        <v>667</v>
      </c>
      <c r="C3582" s="54">
        <v>3.2</v>
      </c>
      <c r="D3582" s="13"/>
    </row>
    <row r="3583" spans="1:4" ht="15">
      <c r="A3583" s="8"/>
      <c r="B3583" s="55" t="s">
        <v>615</v>
      </c>
      <c r="C3583" s="56">
        <v>5.49</v>
      </c>
      <c r="D3583" s="13"/>
    </row>
    <row r="3584" spans="1:4" ht="18.75">
      <c r="A3584" s="8"/>
      <c r="B3584" s="15" t="s">
        <v>616</v>
      </c>
      <c r="C3584" s="57">
        <f>243.89+417.85</f>
        <v>661.74</v>
      </c>
      <c r="D3584" s="13"/>
    </row>
    <row r="3585" spans="1:4" ht="18">
      <c r="A3585" s="17">
        <v>1</v>
      </c>
      <c r="B3585" s="18" t="s">
        <v>668</v>
      </c>
      <c r="C3585" s="21">
        <f>8471.04+14533.2</f>
        <v>23004.24</v>
      </c>
      <c r="D3585" s="5"/>
    </row>
    <row r="3586" spans="1:4" ht="18">
      <c r="A3586" s="17">
        <v>2</v>
      </c>
      <c r="B3586" s="58" t="s">
        <v>669</v>
      </c>
      <c r="C3586" s="59">
        <f>(C3584+C3585)-C3588</f>
        <v>23755.870000000003</v>
      </c>
      <c r="D3586" s="5"/>
    </row>
    <row r="3587" spans="1:4" ht="15">
      <c r="A3587" s="17">
        <v>3</v>
      </c>
      <c r="B3587" s="19" t="s">
        <v>670</v>
      </c>
      <c r="C3587" s="20"/>
      <c r="D3587" s="5"/>
    </row>
    <row r="3588" spans="1:4" ht="15">
      <c r="A3588" s="17"/>
      <c r="B3588" s="60" t="s">
        <v>671</v>
      </c>
      <c r="C3588" s="20">
        <f>-33.1+-56.79</f>
        <v>-89.89</v>
      </c>
      <c r="D3588" s="5"/>
    </row>
    <row r="3589" spans="1:4" ht="15">
      <c r="A3589" s="61"/>
      <c r="B3589" s="62"/>
      <c r="C3589" s="63"/>
      <c r="D3589" s="5"/>
    </row>
    <row r="3590" spans="1:4" ht="31.5">
      <c r="A3590" s="17">
        <v>4</v>
      </c>
      <c r="B3590" s="64" t="s">
        <v>625</v>
      </c>
      <c r="C3590" s="27">
        <f>C3591+C3592+C3593+C3594+C3595+C3596</f>
        <v>27368.476000000002</v>
      </c>
      <c r="D3590" s="5"/>
    </row>
    <row r="3591" spans="1:4" ht="26.25">
      <c r="A3591" s="30" t="s">
        <v>672</v>
      </c>
      <c r="B3591" s="31" t="s">
        <v>632</v>
      </c>
      <c r="C3591" s="66">
        <v>1350.53</v>
      </c>
      <c r="D3591" s="5"/>
    </row>
    <row r="3592" spans="1:4" ht="15.75">
      <c r="A3592" s="17" t="s">
        <v>697</v>
      </c>
      <c r="B3592" s="79" t="s">
        <v>284</v>
      </c>
      <c r="C3592" s="23">
        <v>2371.5</v>
      </c>
      <c r="D3592" s="5"/>
    </row>
    <row r="3593" spans="1:4" ht="15.75">
      <c r="A3593" s="17" t="s">
        <v>673</v>
      </c>
      <c r="B3593" s="79" t="s">
        <v>699</v>
      </c>
      <c r="C3593" s="23">
        <v>31.15</v>
      </c>
      <c r="D3593" s="5"/>
    </row>
    <row r="3594" spans="1:4" ht="15.75">
      <c r="A3594" s="17" t="s">
        <v>676</v>
      </c>
      <c r="B3594" s="81" t="s">
        <v>451</v>
      </c>
      <c r="C3594" s="69">
        <f>1.6*230*12</f>
        <v>4416</v>
      </c>
      <c r="D3594" s="5"/>
    </row>
    <row r="3595" spans="1:4" ht="15.75">
      <c r="A3595" s="17" t="s">
        <v>31</v>
      </c>
      <c r="B3595" s="82" t="s">
        <v>703</v>
      </c>
      <c r="C3595" s="71">
        <f>C3585*0.15</f>
        <v>3450.636</v>
      </c>
      <c r="D3595" s="5"/>
    </row>
    <row r="3596" spans="1:4" ht="15.75">
      <c r="A3596" s="213" t="s">
        <v>33</v>
      </c>
      <c r="B3596" s="79" t="s">
        <v>553</v>
      </c>
      <c r="C3596" s="23">
        <v>15748.66</v>
      </c>
      <c r="D3596" s="5"/>
    </row>
    <row r="3597" spans="1:4" ht="12.75">
      <c r="A3597" s="8"/>
      <c r="B3597" s="47"/>
      <c r="C3597" s="41"/>
      <c r="D3597" s="5"/>
    </row>
    <row r="3598" spans="1:3" ht="18">
      <c r="A3598" s="8"/>
      <c r="B3598" s="73" t="s">
        <v>683</v>
      </c>
      <c r="C3598" s="74">
        <v>-2880.15</v>
      </c>
    </row>
    <row r="3599" spans="1:4" ht="18">
      <c r="A3599" s="8"/>
      <c r="B3599" s="73" t="s">
        <v>167</v>
      </c>
      <c r="C3599" s="59">
        <f>C3586-C3590</f>
        <v>-3612.6059999999998</v>
      </c>
      <c r="D3599" s="75"/>
    </row>
    <row r="3600" spans="1:3" ht="18.75">
      <c r="A3600" s="8"/>
      <c r="B3600" s="76" t="s">
        <v>558</v>
      </c>
      <c r="C3600" s="59">
        <f>SUM(C3598:C3599)</f>
        <v>-6492.755999999999</v>
      </c>
    </row>
    <row r="3601" ht="51.75" customHeight="1"/>
    <row r="3602" spans="2:4" ht="15">
      <c r="B3602" s="196" t="s">
        <v>609</v>
      </c>
      <c r="C3602" s="196"/>
      <c r="D3602" s="196"/>
    </row>
    <row r="3603" spans="2:4" ht="15">
      <c r="B3603" s="197" t="s">
        <v>610</v>
      </c>
      <c r="C3603" s="197"/>
      <c r="D3603" s="1"/>
    </row>
    <row r="3604" spans="2:4" ht="18.75">
      <c r="B3604" s="198" t="s">
        <v>285</v>
      </c>
      <c r="C3604" s="198"/>
      <c r="D3604" s="198"/>
    </row>
    <row r="3605" spans="2:4" ht="15.75">
      <c r="B3605" s="199" t="s">
        <v>612</v>
      </c>
      <c r="C3605" s="199"/>
      <c r="D3605" s="199"/>
    </row>
    <row r="3606" spans="2:4" ht="12.75">
      <c r="B3606" s="3"/>
      <c r="C3606" s="4"/>
      <c r="D3606" s="5"/>
    </row>
    <row r="3607" spans="2:4" ht="14.25">
      <c r="B3607" s="6"/>
      <c r="C3607" s="7"/>
      <c r="D3607" s="5"/>
    </row>
    <row r="3608" spans="1:4" ht="15.75">
      <c r="A3608" s="8"/>
      <c r="B3608" s="51" t="s">
        <v>613</v>
      </c>
      <c r="C3608" s="52">
        <v>722.9</v>
      </c>
      <c r="D3608" s="5"/>
    </row>
    <row r="3609" spans="1:4" ht="15">
      <c r="A3609" s="8"/>
      <c r="B3609" s="53" t="s">
        <v>667</v>
      </c>
      <c r="C3609" s="54">
        <v>3.2</v>
      </c>
      <c r="D3609" s="13"/>
    </row>
    <row r="3610" spans="1:4" ht="15">
      <c r="A3610" s="8"/>
      <c r="B3610" s="55" t="s">
        <v>615</v>
      </c>
      <c r="C3610" s="56">
        <v>5.49</v>
      </c>
      <c r="D3610" s="13"/>
    </row>
    <row r="3611" spans="1:4" ht="18.75">
      <c r="A3611" s="8"/>
      <c r="B3611" s="15" t="s">
        <v>616</v>
      </c>
      <c r="C3611" s="57">
        <f>2090.49+3581.17</f>
        <v>5671.66</v>
      </c>
      <c r="D3611" s="13"/>
    </row>
    <row r="3612" spans="1:4" ht="18">
      <c r="A3612" s="17">
        <v>1</v>
      </c>
      <c r="B3612" s="18" t="s">
        <v>668</v>
      </c>
      <c r="C3612" s="21">
        <f>27759.36+47624.76</f>
        <v>75384.12</v>
      </c>
      <c r="D3612" s="5"/>
    </row>
    <row r="3613" spans="1:4" ht="18">
      <c r="A3613" s="17">
        <v>2</v>
      </c>
      <c r="B3613" s="58" t="s">
        <v>669</v>
      </c>
      <c r="C3613" s="59">
        <f>(C3611+C3612)-C3615</f>
        <v>65639.5</v>
      </c>
      <c r="D3613" s="5"/>
    </row>
    <row r="3614" spans="1:4" ht="15">
      <c r="A3614" s="17">
        <v>3</v>
      </c>
      <c r="B3614" s="19" t="s">
        <v>670</v>
      </c>
      <c r="C3614" s="20"/>
      <c r="D3614" s="5"/>
    </row>
    <row r="3615" spans="1:4" ht="15">
      <c r="A3615" s="17"/>
      <c r="B3615" s="60" t="s">
        <v>671</v>
      </c>
      <c r="C3615" s="20">
        <f>5677.96+9738.32</f>
        <v>15416.279999999999</v>
      </c>
      <c r="D3615" s="5"/>
    </row>
    <row r="3616" spans="1:4" ht="15">
      <c r="A3616" s="61"/>
      <c r="B3616" s="62"/>
      <c r="C3616" s="63"/>
      <c r="D3616" s="5"/>
    </row>
    <row r="3617" spans="1:4" ht="31.5">
      <c r="A3617" s="17">
        <v>4</v>
      </c>
      <c r="B3617" s="64" t="s">
        <v>625</v>
      </c>
      <c r="C3617" s="27">
        <f>C3618+C3619+C3620+C3621+C3622+C3623</f>
        <v>34402.268</v>
      </c>
      <c r="D3617" s="5"/>
    </row>
    <row r="3618" spans="1:4" ht="26.25">
      <c r="A3618" s="30" t="s">
        <v>672</v>
      </c>
      <c r="B3618" s="31" t="s">
        <v>632</v>
      </c>
      <c r="C3618" s="66">
        <v>1583.24</v>
      </c>
      <c r="D3618" s="5"/>
    </row>
    <row r="3619" spans="1:4" ht="15.75">
      <c r="A3619" s="17" t="s">
        <v>697</v>
      </c>
      <c r="B3619" s="79" t="s">
        <v>286</v>
      </c>
      <c r="C3619" s="23">
        <v>4313.34</v>
      </c>
      <c r="D3619" s="5"/>
    </row>
    <row r="3620" spans="1:4" ht="15.75">
      <c r="A3620" s="17" t="s">
        <v>673</v>
      </c>
      <c r="B3620" s="79" t="s">
        <v>699</v>
      </c>
      <c r="C3620" s="23">
        <v>101.95</v>
      </c>
      <c r="D3620" s="5"/>
    </row>
    <row r="3621" spans="1:4" ht="15.75">
      <c r="A3621" s="17" t="s">
        <v>676</v>
      </c>
      <c r="B3621" s="81" t="s">
        <v>256</v>
      </c>
      <c r="C3621" s="69">
        <f>3.3*230*12</f>
        <v>9108</v>
      </c>
      <c r="D3621" s="5"/>
    </row>
    <row r="3622" spans="1:4" ht="15.75">
      <c r="A3622" s="17" t="s">
        <v>31</v>
      </c>
      <c r="B3622" s="82" t="s">
        <v>703</v>
      </c>
      <c r="C3622" s="71">
        <f>C3612*0.15</f>
        <v>11307.617999999999</v>
      </c>
      <c r="D3622" s="5"/>
    </row>
    <row r="3623" spans="1:4" ht="15.75">
      <c r="A3623" s="213" t="s">
        <v>33</v>
      </c>
      <c r="B3623" s="79" t="s">
        <v>553</v>
      </c>
      <c r="C3623" s="23">
        <v>7988.12</v>
      </c>
      <c r="D3623" s="5"/>
    </row>
    <row r="3624" spans="1:4" ht="12.75">
      <c r="A3624" s="8"/>
      <c r="B3624" s="47"/>
      <c r="C3624" s="41"/>
      <c r="D3624" s="5"/>
    </row>
    <row r="3625" spans="1:3" ht="18">
      <c r="A3625" s="8"/>
      <c r="B3625" s="73" t="s">
        <v>683</v>
      </c>
      <c r="C3625" s="74">
        <v>-7345.44</v>
      </c>
    </row>
    <row r="3626" spans="1:4" ht="18">
      <c r="A3626" s="8"/>
      <c r="B3626" s="73" t="s">
        <v>167</v>
      </c>
      <c r="C3626" s="59">
        <f>C3613-C3617</f>
        <v>31237.232000000004</v>
      </c>
      <c r="D3626" s="75"/>
    </row>
    <row r="3627" spans="1:3" ht="18.75">
      <c r="A3627" s="8"/>
      <c r="B3627" s="76" t="s">
        <v>558</v>
      </c>
      <c r="C3627" s="59">
        <f>SUM(C3625:C3626)</f>
        <v>23891.792000000005</v>
      </c>
    </row>
    <row r="3628" ht="53.25" customHeight="1"/>
    <row r="3629" spans="2:4" ht="15">
      <c r="B3629" s="196" t="s">
        <v>609</v>
      </c>
      <c r="C3629" s="196"/>
      <c r="D3629" s="196"/>
    </row>
    <row r="3630" spans="2:4" ht="15">
      <c r="B3630" s="197" t="s">
        <v>704</v>
      </c>
      <c r="C3630" s="197"/>
      <c r="D3630" s="1"/>
    </row>
    <row r="3631" spans="2:4" ht="18.75">
      <c r="B3631" s="198" t="s">
        <v>287</v>
      </c>
      <c r="C3631" s="198"/>
      <c r="D3631" s="198"/>
    </row>
    <row r="3632" spans="2:4" ht="15.75">
      <c r="B3632" s="199" t="s">
        <v>411</v>
      </c>
      <c r="C3632" s="199"/>
      <c r="D3632" s="199"/>
    </row>
    <row r="3633" spans="2:4" ht="15.75">
      <c r="B3633" s="2"/>
      <c r="C3633" s="2"/>
      <c r="D3633" s="2"/>
    </row>
    <row r="3634" spans="1:4" ht="14.25">
      <c r="A3634" s="8"/>
      <c r="B3634" s="155" t="s">
        <v>613</v>
      </c>
      <c r="C3634" s="156">
        <v>1568.19</v>
      </c>
      <c r="D3634" s="5"/>
    </row>
    <row r="3635" spans="1:4" ht="12.75">
      <c r="A3635" s="8"/>
      <c r="B3635" s="11" t="s">
        <v>614</v>
      </c>
      <c r="C3635" s="12">
        <v>4.83</v>
      </c>
      <c r="D3635" s="13"/>
    </row>
    <row r="3636" spans="1:4" ht="12.75">
      <c r="A3636" s="8"/>
      <c r="B3636" s="14" t="s">
        <v>615</v>
      </c>
      <c r="C3636" s="12">
        <v>13.23</v>
      </c>
      <c r="D3636" s="13"/>
    </row>
    <row r="3637" spans="1:4" ht="18.75">
      <c r="A3637" s="17"/>
      <c r="B3637" s="15" t="s">
        <v>616</v>
      </c>
      <c r="C3637" s="16">
        <f>5382.22+3239.98+6188.93+9251.84</f>
        <v>24062.97</v>
      </c>
      <c r="D3637" s="5"/>
    </row>
    <row r="3638" spans="1:4" ht="18.75">
      <c r="A3638" s="17" t="s">
        <v>412</v>
      </c>
      <c r="B3638" s="18" t="s">
        <v>617</v>
      </c>
      <c r="C3638" s="16">
        <f>C3639+C3640</f>
        <v>466345.44</v>
      </c>
      <c r="D3638" s="5"/>
    </row>
    <row r="3639" spans="1:4" ht="15">
      <c r="A3639" s="17" t="s">
        <v>706</v>
      </c>
      <c r="B3639" s="19" t="s">
        <v>413</v>
      </c>
      <c r="C3639" s="20">
        <f>90897.34+225456.73</f>
        <v>316354.07</v>
      </c>
      <c r="D3639" s="5"/>
    </row>
    <row r="3640" spans="1:4" ht="15">
      <c r="A3640" s="17" t="s">
        <v>708</v>
      </c>
      <c r="B3640" s="19" t="s">
        <v>709</v>
      </c>
      <c r="C3640" s="20">
        <f>52998.7+96992.67</f>
        <v>149991.37</v>
      </c>
      <c r="D3640" s="5"/>
    </row>
    <row r="3641" spans="1:4" ht="18">
      <c r="A3641" s="17" t="s">
        <v>414</v>
      </c>
      <c r="B3641" s="18" t="s">
        <v>620</v>
      </c>
      <c r="C3641" s="21">
        <f>C3642+C3643</f>
        <v>442515.75</v>
      </c>
      <c r="D3641" s="5"/>
    </row>
    <row r="3642" spans="1:4" ht="15.75">
      <c r="A3642" s="17" t="s">
        <v>621</v>
      </c>
      <c r="B3642" s="157" t="s">
        <v>433</v>
      </c>
      <c r="C3642" s="23">
        <f>88186.64+212230.45</f>
        <v>300417.09</v>
      </c>
      <c r="D3642" s="5"/>
    </row>
    <row r="3643" spans="1:4" ht="15.75">
      <c r="A3643" s="17" t="s">
        <v>623</v>
      </c>
      <c r="B3643" s="157" t="s">
        <v>416</v>
      </c>
      <c r="C3643" s="23">
        <f>50118.51+91980.15</f>
        <v>142098.66</v>
      </c>
      <c r="D3643" s="5"/>
    </row>
    <row r="3644" spans="1:4" ht="36">
      <c r="A3644" s="17">
        <v>3</v>
      </c>
      <c r="B3644" s="24" t="s">
        <v>625</v>
      </c>
      <c r="C3644" s="85">
        <f>C3645+C3647</f>
        <v>358019.8405</v>
      </c>
      <c r="D3644" s="5"/>
    </row>
    <row r="3645" spans="1:4" ht="18.75">
      <c r="A3645" s="17" t="s">
        <v>417</v>
      </c>
      <c r="B3645" s="87" t="s">
        <v>626</v>
      </c>
      <c r="C3645" s="27">
        <f>C3646</f>
        <v>160361.88</v>
      </c>
      <c r="D3645" s="5"/>
    </row>
    <row r="3646" spans="1:4" ht="15.75">
      <c r="A3646" s="17" t="s">
        <v>419</v>
      </c>
      <c r="B3646" s="87" t="s">
        <v>713</v>
      </c>
      <c r="C3646" s="88">
        <f>2724*58.87</f>
        <v>160361.88</v>
      </c>
      <c r="D3646" s="5"/>
    </row>
    <row r="3647" spans="1:4" ht="18.75">
      <c r="A3647" s="17" t="s">
        <v>421</v>
      </c>
      <c r="B3647" s="87" t="s">
        <v>630</v>
      </c>
      <c r="C3647" s="27">
        <f>C3648+C3649+C3650+C3651+C3652++C3654+C3655+C3656+C3657+C3658+C3659</f>
        <v>197657.9605</v>
      </c>
      <c r="D3647" s="5"/>
    </row>
    <row r="3648" spans="1:4" ht="25.5">
      <c r="A3648" s="30" t="s">
        <v>423</v>
      </c>
      <c r="B3648" s="31" t="s">
        <v>632</v>
      </c>
      <c r="C3648" s="32">
        <v>60816.46</v>
      </c>
      <c r="D3648" s="5"/>
    </row>
    <row r="3649" spans="1:4" ht="12.75">
      <c r="A3649" s="30"/>
      <c r="B3649" s="160" t="s">
        <v>427</v>
      </c>
      <c r="C3649" s="32">
        <v>8157.96</v>
      </c>
      <c r="D3649" s="5"/>
    </row>
    <row r="3650" spans="1:4" ht="12.75">
      <c r="A3650" s="17" t="s">
        <v>631</v>
      </c>
      <c r="B3650" s="159" t="s">
        <v>425</v>
      </c>
      <c r="C3650" s="34">
        <v>50.41</v>
      </c>
      <c r="D3650" s="5"/>
    </row>
    <row r="3651" spans="1:4" ht="12.75">
      <c r="A3651" s="17"/>
      <c r="B3651" s="160" t="s">
        <v>288</v>
      </c>
      <c r="C3651" s="34">
        <v>31370.19</v>
      </c>
      <c r="D3651" s="5"/>
    </row>
    <row r="3652" spans="1:4" ht="12.75">
      <c r="A3652" s="30" t="s">
        <v>637</v>
      </c>
      <c r="B3652" s="159" t="s">
        <v>289</v>
      </c>
      <c r="C3652" s="34">
        <f>7.9*230*12</f>
        <v>21804</v>
      </c>
      <c r="D3652" s="5"/>
    </row>
    <row r="3653" spans="1:4" ht="12.75">
      <c r="A3653" s="30"/>
      <c r="B3653" s="37" t="s">
        <v>290</v>
      </c>
      <c r="C3653" s="78"/>
      <c r="D3653" s="5"/>
    </row>
    <row r="3654" spans="1:4" ht="12.75">
      <c r="A3654" s="30"/>
      <c r="B3654" s="37" t="s">
        <v>291</v>
      </c>
      <c r="C3654" s="34">
        <v>1360</v>
      </c>
      <c r="D3654" s="5"/>
    </row>
    <row r="3655" spans="1:4" ht="12.75">
      <c r="A3655" s="30"/>
      <c r="B3655" s="37" t="s">
        <v>292</v>
      </c>
      <c r="C3655" s="34">
        <f>250+310</f>
        <v>560</v>
      </c>
      <c r="D3655" s="5"/>
    </row>
    <row r="3656" spans="1:4" ht="12.75">
      <c r="A3656" s="30"/>
      <c r="B3656" s="94" t="s">
        <v>293</v>
      </c>
      <c r="C3656" s="91">
        <v>2535.4</v>
      </c>
      <c r="D3656" s="5"/>
    </row>
    <row r="3657" spans="1:4" ht="24.75">
      <c r="A3657" s="30"/>
      <c r="B3657" s="37" t="s">
        <v>294</v>
      </c>
      <c r="C3657" s="23">
        <v>411.01</v>
      </c>
      <c r="D3657" s="5"/>
    </row>
    <row r="3658" spans="1:4" ht="12.75">
      <c r="A3658" s="30" t="s">
        <v>639</v>
      </c>
      <c r="B3658" s="159" t="s">
        <v>429</v>
      </c>
      <c r="C3658" s="34">
        <f>C3639*0.15</f>
        <v>47453.1105</v>
      </c>
      <c r="D3658" s="5"/>
    </row>
    <row r="3659" spans="1:4" ht="12.75">
      <c r="A3659" s="8" t="s">
        <v>641</v>
      </c>
      <c r="B3659" s="159" t="s">
        <v>436</v>
      </c>
      <c r="C3659" s="34">
        <v>23139.42</v>
      </c>
      <c r="D3659" s="5"/>
    </row>
    <row r="3660" spans="1:4" ht="12.75">
      <c r="A3660" s="8"/>
      <c r="B3660" s="37"/>
      <c r="C3660" s="167"/>
      <c r="D3660" s="5"/>
    </row>
    <row r="3661" spans="1:4" ht="30">
      <c r="A3661" s="8"/>
      <c r="B3661" s="45" t="s">
        <v>478</v>
      </c>
      <c r="C3661" s="46">
        <f>C3641-C3644</f>
        <v>84495.90950000001</v>
      </c>
      <c r="D3661" s="5"/>
    </row>
    <row r="3662" spans="1:4" ht="15.75">
      <c r="A3662" s="8"/>
      <c r="B3662" s="45" t="s">
        <v>479</v>
      </c>
      <c r="C3662" s="46">
        <v>97719.25</v>
      </c>
      <c r="D3662" s="5"/>
    </row>
    <row r="3663" spans="1:4" ht="15.75">
      <c r="A3663" s="8"/>
      <c r="B3663" s="45" t="s">
        <v>652</v>
      </c>
      <c r="C3663" s="46">
        <f>C3661+C3662</f>
        <v>182215.1595</v>
      </c>
      <c r="D3663" s="5"/>
    </row>
    <row r="3664" spans="1:4" ht="15.75">
      <c r="A3664" s="8"/>
      <c r="B3664" s="174"/>
      <c r="C3664" s="23"/>
      <c r="D3664" s="5"/>
    </row>
    <row r="3665" spans="1:4" ht="15.75">
      <c r="A3665" s="8"/>
      <c r="B3665" s="45" t="s">
        <v>653</v>
      </c>
      <c r="C3665" s="46">
        <f>C3641-(C3637+C3638)</f>
        <v>-47892.66000000003</v>
      </c>
      <c r="D3665" s="5"/>
    </row>
    <row r="3666" spans="1:4" ht="15.75">
      <c r="A3666" s="8"/>
      <c r="B3666" s="45" t="s">
        <v>654</v>
      </c>
      <c r="C3666" s="46">
        <v>-30571.04</v>
      </c>
      <c r="D3666" s="5"/>
    </row>
    <row r="3667" spans="1:4" ht="15.75">
      <c r="A3667" s="8"/>
      <c r="B3667" s="45" t="s">
        <v>726</v>
      </c>
      <c r="C3667" s="46">
        <v>-17321.62</v>
      </c>
      <c r="D3667" s="5"/>
    </row>
    <row r="3669" ht="12.75">
      <c r="B3669" t="s">
        <v>755</v>
      </c>
    </row>
    <row r="3670" ht="12.75">
      <c r="B3670" t="s">
        <v>63</v>
      </c>
    </row>
    <row r="3671" spans="2:3" ht="12.75">
      <c r="B3671" t="s">
        <v>295</v>
      </c>
      <c r="C3671" s="112">
        <f>2724*58.87</f>
        <v>160361.88</v>
      </c>
    </row>
    <row r="3672" spans="2:3" ht="12.75">
      <c r="B3672" t="s">
        <v>296</v>
      </c>
      <c r="C3672" s="113">
        <v>149991.37</v>
      </c>
    </row>
    <row r="3673" spans="2:3" ht="15">
      <c r="B3673" s="114" t="s">
        <v>297</v>
      </c>
      <c r="C3673" s="115">
        <f>C3671-C3672</f>
        <v>10370.51000000001</v>
      </c>
    </row>
    <row r="3674" ht="59.25" customHeight="1"/>
    <row r="3675" spans="2:4" ht="15">
      <c r="B3675" s="196" t="s">
        <v>609</v>
      </c>
      <c r="C3675" s="196"/>
      <c r="D3675" s="196"/>
    </row>
    <row r="3676" spans="2:4" ht="15">
      <c r="B3676" s="197" t="s">
        <v>704</v>
      </c>
      <c r="C3676" s="197"/>
      <c r="D3676" s="1"/>
    </row>
    <row r="3677" spans="2:4" ht="18.75">
      <c r="B3677" s="198" t="s">
        <v>298</v>
      </c>
      <c r="C3677" s="198"/>
      <c r="D3677" s="198"/>
    </row>
    <row r="3678" spans="2:4" ht="15.75">
      <c r="B3678" s="199" t="s">
        <v>612</v>
      </c>
      <c r="C3678" s="199"/>
      <c r="D3678" s="199"/>
    </row>
    <row r="3679" spans="2:4" ht="12.75">
      <c r="B3679" s="3"/>
      <c r="C3679" s="4"/>
      <c r="D3679" s="5"/>
    </row>
    <row r="3680" spans="2:4" ht="14.25">
      <c r="B3680" s="6"/>
      <c r="C3680" s="7"/>
      <c r="D3680" s="5"/>
    </row>
    <row r="3681" spans="1:4" ht="15">
      <c r="A3681" s="8"/>
      <c r="B3681" s="9" t="s">
        <v>613</v>
      </c>
      <c r="C3681" s="10">
        <v>1751.55</v>
      </c>
      <c r="D3681" s="5"/>
    </row>
    <row r="3682" spans="1:4" ht="12.75">
      <c r="A3682" s="8"/>
      <c r="B3682" s="11" t="s">
        <v>614</v>
      </c>
      <c r="C3682" s="12">
        <v>5.33</v>
      </c>
      <c r="D3682" s="13"/>
    </row>
    <row r="3683" spans="1:4" ht="12.75">
      <c r="A3683" s="8"/>
      <c r="B3683" s="139" t="s">
        <v>299</v>
      </c>
      <c r="C3683" s="12">
        <v>14.16</v>
      </c>
      <c r="D3683" s="13"/>
    </row>
    <row r="3684" spans="1:4" ht="18.75">
      <c r="A3684" s="8"/>
      <c r="B3684" s="15" t="s">
        <v>616</v>
      </c>
      <c r="C3684" s="16">
        <v>45940.55</v>
      </c>
      <c r="D3684" s="13"/>
    </row>
    <row r="3685" spans="1:4" ht="18.75">
      <c r="A3685" s="17">
        <v>1</v>
      </c>
      <c r="B3685" s="18" t="s">
        <v>617</v>
      </c>
      <c r="C3685" s="16">
        <f>C3686+C3687+C3688</f>
        <v>527252.91</v>
      </c>
      <c r="D3685" s="5"/>
    </row>
    <row r="3686" spans="1:4" ht="15">
      <c r="A3686" s="17" t="s">
        <v>706</v>
      </c>
      <c r="B3686" s="19" t="s">
        <v>707</v>
      </c>
      <c r="C3686" s="20">
        <f>109639.73+267248.34</f>
        <v>376888.07</v>
      </c>
      <c r="D3686" s="5"/>
    </row>
    <row r="3687" spans="1:4" ht="15">
      <c r="A3687" s="17" t="s">
        <v>708</v>
      </c>
      <c r="B3687" s="19" t="s">
        <v>709</v>
      </c>
      <c r="C3687" s="20">
        <f>47788+87465.84</f>
        <v>135253.84</v>
      </c>
      <c r="D3687" s="5"/>
    </row>
    <row r="3688" spans="1:4" ht="15">
      <c r="A3688" s="17"/>
      <c r="B3688" s="19" t="s">
        <v>300</v>
      </c>
      <c r="C3688" s="20">
        <v>15111</v>
      </c>
      <c r="D3688" s="5"/>
    </row>
    <row r="3689" spans="1:4" ht="18">
      <c r="A3689" s="17">
        <v>2</v>
      </c>
      <c r="B3689" s="18" t="s">
        <v>620</v>
      </c>
      <c r="C3689" s="21">
        <f>C3690+C3691+C3692</f>
        <v>485905.09</v>
      </c>
      <c r="D3689" s="13"/>
    </row>
    <row r="3690" spans="1:4" ht="15.75">
      <c r="A3690" s="17" t="s">
        <v>621</v>
      </c>
      <c r="B3690" s="22" t="s">
        <v>712</v>
      </c>
      <c r="C3690" s="23">
        <f>107155.99+250426.49</f>
        <v>357582.48</v>
      </c>
      <c r="D3690" s="13"/>
    </row>
    <row r="3691" spans="1:4" ht="15.75">
      <c r="A3691" s="17" t="s">
        <v>623</v>
      </c>
      <c r="B3691" s="22" t="s">
        <v>619</v>
      </c>
      <c r="C3691" s="23">
        <f>40177.23+73751.82</f>
        <v>113929.05000000002</v>
      </c>
      <c r="D3691" s="5"/>
    </row>
    <row r="3692" spans="1:4" ht="15.75">
      <c r="A3692" s="17"/>
      <c r="B3692" s="19" t="s">
        <v>300</v>
      </c>
      <c r="C3692" s="23">
        <v>14393.56</v>
      </c>
      <c r="D3692" s="13"/>
    </row>
    <row r="3693" spans="1:4" ht="18">
      <c r="A3693" s="17"/>
      <c r="B3693" s="84"/>
      <c r="C3693" s="21"/>
      <c r="D3693" s="13"/>
    </row>
    <row r="3694" spans="1:4" ht="36">
      <c r="A3694" s="17">
        <v>5</v>
      </c>
      <c r="B3694" s="24" t="s">
        <v>625</v>
      </c>
      <c r="C3694" s="85">
        <f>C3695+C3698</f>
        <v>321561.2905</v>
      </c>
      <c r="D3694" s="13"/>
    </row>
    <row r="3695" spans="1:4" ht="18.75">
      <c r="A3695" s="86" t="s">
        <v>627</v>
      </c>
      <c r="B3695" s="87" t="s">
        <v>626</v>
      </c>
      <c r="C3695" s="27">
        <f>C3696+C3697</f>
        <v>167760.91</v>
      </c>
      <c r="D3695" s="13"/>
    </row>
    <row r="3696" spans="1:4" ht="15.75">
      <c r="A3696" s="17"/>
      <c r="B3696" s="87" t="s">
        <v>713</v>
      </c>
      <c r="C3696" s="88">
        <v>152649.91</v>
      </c>
      <c r="D3696" s="13"/>
    </row>
    <row r="3697" spans="1:4" ht="15.75">
      <c r="A3697" s="17"/>
      <c r="B3697" s="89" t="s">
        <v>301</v>
      </c>
      <c r="C3697" s="46">
        <v>15111</v>
      </c>
      <c r="D3697" s="13"/>
    </row>
    <row r="3698" spans="1:4" ht="18.75">
      <c r="A3698" s="17" t="s">
        <v>629</v>
      </c>
      <c r="B3698" s="87" t="s">
        <v>630</v>
      </c>
      <c r="C3698" s="27">
        <f>C3699+C3700+C3701+C3702+C3703+C3704+C3705+C3706+C3707</f>
        <v>153800.38050000003</v>
      </c>
      <c r="D3698" s="13"/>
    </row>
    <row r="3699" spans="1:4" ht="25.5">
      <c r="A3699" s="30" t="s">
        <v>631</v>
      </c>
      <c r="B3699" s="31" t="s">
        <v>632</v>
      </c>
      <c r="C3699" s="32">
        <v>38570.97</v>
      </c>
      <c r="D3699" s="5"/>
    </row>
    <row r="3700" spans="1:4" ht="12.75">
      <c r="A3700" s="17" t="s">
        <v>633</v>
      </c>
      <c r="B3700" s="33" t="s">
        <v>634</v>
      </c>
      <c r="C3700" s="34">
        <v>54.52</v>
      </c>
      <c r="D3700" s="5"/>
    </row>
    <row r="3701" spans="1:4" ht="12.75">
      <c r="A3701" s="17" t="s">
        <v>637</v>
      </c>
      <c r="B3701" s="35" t="s">
        <v>640</v>
      </c>
      <c r="C3701" s="34">
        <v>8453.7</v>
      </c>
      <c r="D3701" s="5"/>
    </row>
    <row r="3702" spans="1:4" ht="12.75">
      <c r="A3702" s="30" t="s">
        <v>639</v>
      </c>
      <c r="B3702" s="33" t="s">
        <v>302</v>
      </c>
      <c r="C3702" s="34">
        <f>7.7*230*3</f>
        <v>5313</v>
      </c>
      <c r="D3702" s="5"/>
    </row>
    <row r="3703" spans="1:4" ht="12.75">
      <c r="A3703" s="30" t="s">
        <v>641</v>
      </c>
      <c r="B3703" s="160" t="s">
        <v>303</v>
      </c>
      <c r="C3703" s="91">
        <v>32401.22</v>
      </c>
      <c r="D3703" s="5"/>
    </row>
    <row r="3704" spans="1:4" ht="24">
      <c r="A3704" s="30"/>
      <c r="B3704" s="37" t="s">
        <v>304</v>
      </c>
      <c r="C3704" s="230">
        <v>2327.25</v>
      </c>
      <c r="D3704" s="5"/>
    </row>
    <row r="3705" spans="1:4" ht="12.75">
      <c r="A3705" s="30" t="s">
        <v>647</v>
      </c>
      <c r="B3705" s="33" t="s">
        <v>646</v>
      </c>
      <c r="C3705" s="91">
        <f>C3686*0.15</f>
        <v>56533.2105</v>
      </c>
      <c r="D3705" s="5"/>
    </row>
    <row r="3706" spans="1:4" ht="24">
      <c r="A3706" s="30"/>
      <c r="B3706" s="177" t="s">
        <v>305</v>
      </c>
      <c r="C3706" s="91">
        <v>10146.51</v>
      </c>
      <c r="D3706" s="5"/>
    </row>
    <row r="3707" spans="1:4" ht="12.75">
      <c r="A3707" s="17" t="s">
        <v>717</v>
      </c>
      <c r="B3707" s="33" t="s">
        <v>648</v>
      </c>
      <c r="C3707" s="34">
        <v>0</v>
      </c>
      <c r="D3707" s="13"/>
    </row>
    <row r="3708" spans="1:4" ht="12.75">
      <c r="A3708" s="17"/>
      <c r="B3708" s="39" t="s">
        <v>649</v>
      </c>
      <c r="C3708" s="34"/>
      <c r="D3708" s="13"/>
    </row>
    <row r="3709" spans="1:4" ht="30">
      <c r="A3709" s="8"/>
      <c r="B3709" s="45" t="s">
        <v>306</v>
      </c>
      <c r="C3709" s="46">
        <f>C3689-C3694</f>
        <v>164343.79950000002</v>
      </c>
      <c r="D3709" s="5"/>
    </row>
    <row r="3710" spans="1:4" ht="15.75">
      <c r="A3710" s="8"/>
      <c r="B3710" s="45"/>
      <c r="C3710" s="46"/>
      <c r="D3710" s="5"/>
    </row>
    <row r="3711" spans="1:4" ht="15.75">
      <c r="A3711" s="8"/>
      <c r="B3711" s="45"/>
      <c r="C3711" s="46"/>
      <c r="D3711" s="5"/>
    </row>
    <row r="3712" spans="1:4" ht="15.75">
      <c r="A3712" s="8"/>
      <c r="B3712" s="45" t="s">
        <v>653</v>
      </c>
      <c r="C3712" s="46">
        <f>C3689-(C3684+C3685)</f>
        <v>-87288.37000000005</v>
      </c>
      <c r="D3712" s="13"/>
    </row>
    <row r="3713" spans="1:4" ht="15.75">
      <c r="A3713" s="8"/>
      <c r="B3713" s="45" t="s">
        <v>654</v>
      </c>
      <c r="C3713" s="46">
        <v>-54966.56</v>
      </c>
      <c r="D3713" s="5"/>
    </row>
    <row r="3714" spans="1:4" ht="15.75">
      <c r="A3714" s="8"/>
      <c r="B3714" s="45" t="s">
        <v>726</v>
      </c>
      <c r="C3714" s="46">
        <v>-29345.89</v>
      </c>
      <c r="D3714" s="5"/>
    </row>
    <row r="3715" spans="1:3" ht="15.75">
      <c r="A3715" s="8"/>
      <c r="B3715" s="98" t="s">
        <v>510</v>
      </c>
      <c r="C3715" s="99">
        <v>-2975.92</v>
      </c>
    </row>
    <row r="3716" spans="1:3" ht="15.75">
      <c r="A3716" s="8"/>
      <c r="B3716" s="98"/>
      <c r="C3716" s="23"/>
    </row>
    <row r="3718" ht="12.75">
      <c r="B3718" t="s">
        <v>755</v>
      </c>
    </row>
    <row r="3719" ht="12.75">
      <c r="B3719" t="s">
        <v>756</v>
      </c>
    </row>
    <row r="3720" ht="12.75">
      <c r="B3720" t="s">
        <v>757</v>
      </c>
    </row>
    <row r="3721" spans="2:3" ht="12.75">
      <c r="B3721" t="s">
        <v>307</v>
      </c>
      <c r="C3721" s="112">
        <f>2593*58.87</f>
        <v>152649.91</v>
      </c>
    </row>
    <row r="3722" spans="2:3" ht="12.75">
      <c r="B3722" t="s">
        <v>308</v>
      </c>
      <c r="C3722" s="113">
        <f>2298*58.87</f>
        <v>135283.25999999998</v>
      </c>
    </row>
    <row r="3723" spans="2:3" ht="15">
      <c r="B3723" s="114" t="s">
        <v>309</v>
      </c>
      <c r="C3723" s="115">
        <f>C3721-C3722</f>
        <v>17366.650000000023</v>
      </c>
    </row>
    <row r="3724" ht="53.25" customHeight="1"/>
    <row r="3725" spans="2:4" ht="15">
      <c r="B3725" s="196" t="s">
        <v>609</v>
      </c>
      <c r="C3725" s="196"/>
      <c r="D3725" s="196"/>
    </row>
    <row r="3726" spans="2:4" ht="15">
      <c r="B3726" s="197" t="s">
        <v>704</v>
      </c>
      <c r="C3726" s="197"/>
      <c r="D3726" s="1"/>
    </row>
    <row r="3727" spans="2:4" ht="18.75">
      <c r="B3727" s="198" t="s">
        <v>310</v>
      </c>
      <c r="C3727" s="198"/>
      <c r="D3727" s="198"/>
    </row>
    <row r="3728" spans="2:4" ht="15.75">
      <c r="B3728" s="199" t="s">
        <v>411</v>
      </c>
      <c r="C3728" s="199"/>
      <c r="D3728" s="199"/>
    </row>
    <row r="3729" spans="2:4" ht="15.75">
      <c r="B3729" s="2"/>
      <c r="C3729" s="2"/>
      <c r="D3729" s="2"/>
    </row>
    <row r="3730" spans="1:4" ht="14.25">
      <c r="A3730" s="8"/>
      <c r="B3730" s="155" t="s">
        <v>613</v>
      </c>
      <c r="C3730" s="156">
        <v>255.4</v>
      </c>
      <c r="D3730" s="5"/>
    </row>
    <row r="3731" spans="1:4" ht="12.75">
      <c r="A3731" s="8"/>
      <c r="B3731" s="11" t="s">
        <v>614</v>
      </c>
      <c r="C3731" s="12">
        <v>4.28</v>
      </c>
      <c r="D3731" s="13"/>
    </row>
    <row r="3732" spans="1:4" ht="12.75">
      <c r="A3732" s="8"/>
      <c r="B3732" s="14" t="s">
        <v>615</v>
      </c>
      <c r="C3732" s="12">
        <v>7.34</v>
      </c>
      <c r="D3732" s="13"/>
    </row>
    <row r="3733" spans="1:4" ht="18.75">
      <c r="A3733" s="17"/>
      <c r="B3733" s="15" t="s">
        <v>616</v>
      </c>
      <c r="C3733" s="16">
        <f>533.08+454.78+868.61+913.22</f>
        <v>2769.69</v>
      </c>
      <c r="D3733" s="5"/>
    </row>
    <row r="3734" spans="1:4" ht="18.75">
      <c r="A3734" s="17" t="s">
        <v>412</v>
      </c>
      <c r="B3734" s="18" t="s">
        <v>617</v>
      </c>
      <c r="C3734" s="16">
        <f>C3735+C3736</f>
        <v>48390.58</v>
      </c>
      <c r="D3734" s="5"/>
    </row>
    <row r="3735" spans="1:4" ht="15">
      <c r="A3735" s="17" t="s">
        <v>706</v>
      </c>
      <c r="B3735" s="19" t="s">
        <v>413</v>
      </c>
      <c r="C3735" s="20">
        <f>13116.84+22495.68</f>
        <v>35612.520000000004</v>
      </c>
      <c r="D3735" s="5"/>
    </row>
    <row r="3736" spans="1:4" ht="15">
      <c r="A3736" s="17" t="s">
        <v>708</v>
      </c>
      <c r="B3736" s="19" t="s">
        <v>709</v>
      </c>
      <c r="C3736" s="20">
        <f>4514.96+8263.1</f>
        <v>12778.060000000001</v>
      </c>
      <c r="D3736" s="5"/>
    </row>
    <row r="3737" spans="1:4" ht="18">
      <c r="A3737" s="17" t="s">
        <v>414</v>
      </c>
      <c r="B3737" s="18" t="s">
        <v>620</v>
      </c>
      <c r="C3737" s="21">
        <f>C3738+C3739</f>
        <v>48722.91</v>
      </c>
      <c r="D3737" s="5"/>
    </row>
    <row r="3738" spans="1:4" ht="15.75">
      <c r="A3738" s="17" t="s">
        <v>621</v>
      </c>
      <c r="B3738" s="157" t="s">
        <v>433</v>
      </c>
      <c r="C3738" s="23">
        <f>13018.26+22325.63</f>
        <v>35343.89</v>
      </c>
      <c r="D3738" s="5"/>
    </row>
    <row r="3739" spans="1:4" ht="15.75">
      <c r="A3739" s="17" t="s">
        <v>623</v>
      </c>
      <c r="B3739" s="157" t="s">
        <v>416</v>
      </c>
      <c r="C3739" s="23">
        <f>4714.49+8664.53</f>
        <v>13379.02</v>
      </c>
      <c r="D3739" s="5"/>
    </row>
    <row r="3740" spans="1:4" ht="36">
      <c r="A3740" s="17">
        <v>3</v>
      </c>
      <c r="B3740" s="24" t="s">
        <v>625</v>
      </c>
      <c r="C3740" s="85">
        <f>C3741+C3743</f>
        <v>68175.708</v>
      </c>
      <c r="D3740" s="5"/>
    </row>
    <row r="3741" spans="1:4" ht="18.75">
      <c r="A3741" s="17" t="s">
        <v>417</v>
      </c>
      <c r="B3741" s="87" t="s">
        <v>626</v>
      </c>
      <c r="C3741" s="27">
        <f>C3742</f>
        <v>13775.58</v>
      </c>
      <c r="D3741" s="5"/>
    </row>
    <row r="3742" spans="1:4" ht="15.75">
      <c r="A3742" s="17" t="s">
        <v>419</v>
      </c>
      <c r="B3742" s="87" t="s">
        <v>713</v>
      </c>
      <c r="C3742" s="88">
        <f>234*58.87</f>
        <v>13775.58</v>
      </c>
      <c r="D3742" s="5"/>
    </row>
    <row r="3743" spans="1:4" ht="18.75">
      <c r="A3743" s="17" t="s">
        <v>421</v>
      </c>
      <c r="B3743" s="87" t="s">
        <v>630</v>
      </c>
      <c r="C3743" s="27">
        <f>C3744+C3745+C3746+C3747+C3748+C3749</f>
        <v>54400.128</v>
      </c>
      <c r="D3743" s="5"/>
    </row>
    <row r="3744" spans="1:4" ht="25.5">
      <c r="A3744" s="30" t="s">
        <v>423</v>
      </c>
      <c r="B3744" s="104" t="s">
        <v>424</v>
      </c>
      <c r="C3744" s="32">
        <v>8904.74</v>
      </c>
      <c r="D3744" s="5"/>
    </row>
    <row r="3745" spans="1:4" ht="12.75">
      <c r="A3745" s="17" t="s">
        <v>631</v>
      </c>
      <c r="B3745" s="159" t="s">
        <v>425</v>
      </c>
      <c r="C3745" s="34">
        <v>17.7</v>
      </c>
      <c r="D3745" s="5"/>
    </row>
    <row r="3746" spans="1:4" ht="12.75">
      <c r="A3746" s="30" t="s">
        <v>637</v>
      </c>
      <c r="B3746" s="159" t="s">
        <v>311</v>
      </c>
      <c r="C3746" s="34">
        <f>1.3*230*12</f>
        <v>3588</v>
      </c>
      <c r="D3746" s="5"/>
    </row>
    <row r="3747" spans="1:4" ht="12.75">
      <c r="A3747" s="30"/>
      <c r="B3747" s="36" t="s">
        <v>312</v>
      </c>
      <c r="C3747" s="34">
        <f>165*2</f>
        <v>330</v>
      </c>
      <c r="D3747" s="5"/>
    </row>
    <row r="3748" spans="1:4" ht="12.75">
      <c r="A3748" s="30" t="s">
        <v>639</v>
      </c>
      <c r="B3748" s="159" t="s">
        <v>429</v>
      </c>
      <c r="C3748" s="34">
        <f>C3735*0.15</f>
        <v>5341.878000000001</v>
      </c>
      <c r="D3748" s="5"/>
    </row>
    <row r="3749" spans="1:4" ht="12.75">
      <c r="A3749" s="8" t="s">
        <v>641</v>
      </c>
      <c r="B3749" s="159" t="s">
        <v>436</v>
      </c>
      <c r="C3749" s="34">
        <v>36217.81</v>
      </c>
      <c r="D3749" s="5"/>
    </row>
    <row r="3750" spans="1:4" ht="12.75">
      <c r="A3750" s="8"/>
      <c r="B3750" s="37"/>
      <c r="C3750" s="167"/>
      <c r="D3750" s="5"/>
    </row>
    <row r="3751" spans="1:4" ht="30">
      <c r="A3751" s="8"/>
      <c r="B3751" s="45" t="s">
        <v>478</v>
      </c>
      <c r="C3751" s="46">
        <f>C3737-C3740</f>
        <v>-19452.797999999995</v>
      </c>
      <c r="D3751" s="5"/>
    </row>
    <row r="3752" spans="1:4" ht="15.75">
      <c r="A3752" s="8"/>
      <c r="B3752" s="45" t="s">
        <v>479</v>
      </c>
      <c r="C3752" s="46">
        <v>27226.6</v>
      </c>
      <c r="D3752" s="5"/>
    </row>
    <row r="3753" spans="1:4" ht="15.75">
      <c r="A3753" s="8"/>
      <c r="B3753" s="45" t="s">
        <v>652</v>
      </c>
      <c r="C3753" s="46">
        <f>C3751+C3752</f>
        <v>7773.802000000003</v>
      </c>
      <c r="D3753" s="5"/>
    </row>
    <row r="3754" spans="1:4" ht="15.75">
      <c r="A3754" s="8"/>
      <c r="B3754" s="174"/>
      <c r="C3754" s="23"/>
      <c r="D3754" s="5"/>
    </row>
    <row r="3755" spans="1:4" ht="15.75">
      <c r="A3755" s="8"/>
      <c r="B3755" s="45" t="s">
        <v>653</v>
      </c>
      <c r="C3755" s="46">
        <f>C3737-(C3733+C3734)</f>
        <v>-2437.3600000000006</v>
      </c>
      <c r="D3755" s="5"/>
    </row>
    <row r="3756" spans="1:4" ht="15.75">
      <c r="A3756" s="8"/>
      <c r="B3756" s="45" t="s">
        <v>654</v>
      </c>
      <c r="C3756" s="46">
        <v>-1714.93</v>
      </c>
      <c r="D3756" s="5"/>
    </row>
    <row r="3757" spans="1:4" ht="15.75">
      <c r="A3757" s="8"/>
      <c r="B3757" s="45" t="s">
        <v>726</v>
      </c>
      <c r="C3757" s="46">
        <v>-722.43</v>
      </c>
      <c r="D3757" s="5"/>
    </row>
    <row r="3759" ht="12.75">
      <c r="B3759" t="s">
        <v>755</v>
      </c>
    </row>
    <row r="3760" ht="12.75">
      <c r="B3760" t="s">
        <v>63</v>
      </c>
    </row>
    <row r="3761" spans="2:3" ht="12.75">
      <c r="B3761" t="s">
        <v>313</v>
      </c>
      <c r="C3761" s="112">
        <f>234*58.87</f>
        <v>13775.58</v>
      </c>
    </row>
    <row r="3762" spans="2:3" ht="12.75">
      <c r="B3762" t="s">
        <v>314</v>
      </c>
      <c r="C3762" s="113">
        <f>217.05*58.87</f>
        <v>12777.7335</v>
      </c>
    </row>
    <row r="3763" spans="2:3" ht="15">
      <c r="B3763" s="114" t="s">
        <v>315</v>
      </c>
      <c r="C3763" s="115">
        <f>C3761-C3762</f>
        <v>997.8464999999997</v>
      </c>
    </row>
    <row r="3764" ht="55.5" customHeight="1"/>
    <row r="3765" spans="2:4" ht="15">
      <c r="B3765" s="196" t="s">
        <v>609</v>
      </c>
      <c r="C3765" s="196"/>
      <c r="D3765" s="196"/>
    </row>
    <row r="3766" spans="2:4" ht="15">
      <c r="B3766" s="197" t="s">
        <v>704</v>
      </c>
      <c r="C3766" s="197"/>
      <c r="D3766" s="1"/>
    </row>
    <row r="3767" spans="2:4" ht="18.75">
      <c r="B3767" s="198" t="s">
        <v>316</v>
      </c>
      <c r="C3767" s="198"/>
      <c r="D3767" s="198"/>
    </row>
    <row r="3768" spans="2:4" ht="15.75">
      <c r="B3768" s="199" t="s">
        <v>612</v>
      </c>
      <c r="C3768" s="199"/>
      <c r="D3768" s="199"/>
    </row>
    <row r="3769" spans="2:4" ht="14.25">
      <c r="B3769" s="6"/>
      <c r="C3769" s="7"/>
      <c r="D3769" s="5"/>
    </row>
    <row r="3770" spans="1:4" ht="15">
      <c r="A3770" s="8"/>
      <c r="B3770" s="9" t="s">
        <v>613</v>
      </c>
      <c r="C3770" s="10">
        <v>939.1</v>
      </c>
      <c r="D3770" s="5"/>
    </row>
    <row r="3771" spans="1:4" ht="12.75">
      <c r="A3771" s="8"/>
      <c r="B3771" s="11" t="s">
        <v>614</v>
      </c>
      <c r="C3771" s="12">
        <v>5.33</v>
      </c>
      <c r="D3771" s="13"/>
    </row>
    <row r="3772" spans="1:4" ht="12.75">
      <c r="A3772" s="8"/>
      <c r="B3772" s="14" t="s">
        <v>615</v>
      </c>
      <c r="C3772" s="12">
        <v>9.16</v>
      </c>
      <c r="D3772" s="13"/>
    </row>
    <row r="3773" spans="1:4" ht="18.75">
      <c r="A3773" s="8"/>
      <c r="B3773" s="15" t="s">
        <v>616</v>
      </c>
      <c r="C3773" s="16">
        <f>1596.89+841.55+1661.58+2742.88</f>
        <v>6842.900000000001</v>
      </c>
      <c r="D3773" s="13"/>
    </row>
    <row r="3774" spans="1:4" ht="18.75">
      <c r="A3774" s="17">
        <v>1</v>
      </c>
      <c r="B3774" s="18" t="s">
        <v>617</v>
      </c>
      <c r="C3774" s="16">
        <f>C3775+C3776</f>
        <v>276024.64</v>
      </c>
      <c r="D3774" s="5"/>
    </row>
    <row r="3775" spans="1:4" ht="15">
      <c r="A3775" s="17" t="s">
        <v>706</v>
      </c>
      <c r="B3775" s="19" t="s">
        <v>707</v>
      </c>
      <c r="C3775" s="20">
        <f>60064.68+103225.68</f>
        <v>163290.36</v>
      </c>
      <c r="D3775" s="5"/>
    </row>
    <row r="3776" spans="1:4" ht="15">
      <c r="A3776" s="17" t="s">
        <v>708</v>
      </c>
      <c r="B3776" s="19" t="s">
        <v>709</v>
      </c>
      <c r="C3776" s="20">
        <f>40248+72486.28</f>
        <v>112734.28</v>
      </c>
      <c r="D3776" s="5"/>
    </row>
    <row r="3777" spans="1:4" ht="18">
      <c r="A3777" s="17">
        <v>2</v>
      </c>
      <c r="B3777" s="18" t="s">
        <v>620</v>
      </c>
      <c r="C3777" s="21">
        <f>C3778+C3779</f>
        <v>266182.69</v>
      </c>
      <c r="D3777" s="13"/>
    </row>
    <row r="3778" spans="1:4" ht="15.75">
      <c r="A3778" s="17" t="s">
        <v>621</v>
      </c>
      <c r="B3778" s="157" t="s">
        <v>317</v>
      </c>
      <c r="C3778" s="23">
        <f>57617.71+99018.76</f>
        <v>156636.47</v>
      </c>
      <c r="D3778" s="13"/>
    </row>
    <row r="3779" spans="1:4" ht="15.75">
      <c r="A3779" s="17" t="s">
        <v>623</v>
      </c>
      <c r="B3779" s="157" t="s">
        <v>416</v>
      </c>
      <c r="C3779" s="23">
        <f>39078.92+70467.3</f>
        <v>109546.22</v>
      </c>
      <c r="D3779" s="5"/>
    </row>
    <row r="3780" spans="1:4" ht="36">
      <c r="A3780" s="17">
        <v>5</v>
      </c>
      <c r="B3780" s="24" t="s">
        <v>625</v>
      </c>
      <c r="C3780" s="27">
        <f>C3781+C3783</f>
        <v>218334.124</v>
      </c>
      <c r="D3780" s="13"/>
    </row>
    <row r="3781" spans="1:4" ht="18.75">
      <c r="A3781" s="86" t="s">
        <v>627</v>
      </c>
      <c r="B3781" s="87" t="s">
        <v>626</v>
      </c>
      <c r="C3781" s="27">
        <f>C3782</f>
        <v>114855.37</v>
      </c>
      <c r="D3781" s="13"/>
    </row>
    <row r="3782" spans="1:4" ht="15.75">
      <c r="A3782" s="17"/>
      <c r="B3782" s="87" t="s">
        <v>318</v>
      </c>
      <c r="C3782" s="88">
        <f>1951*58.87</f>
        <v>114855.37</v>
      </c>
      <c r="D3782" s="13"/>
    </row>
    <row r="3783" spans="1:4" ht="18.75">
      <c r="A3783" s="17" t="s">
        <v>629</v>
      </c>
      <c r="B3783" s="87" t="s">
        <v>630</v>
      </c>
      <c r="C3783" s="27">
        <f>C3784+C3785+C3786+C3787+C3788+C3789+C3790</f>
        <v>103478.754</v>
      </c>
      <c r="D3783" s="13"/>
    </row>
    <row r="3784" spans="1:4" ht="25.5">
      <c r="A3784" s="30" t="s">
        <v>633</v>
      </c>
      <c r="B3784" s="31" t="s">
        <v>319</v>
      </c>
      <c r="C3784" s="32">
        <f>20399.28</f>
        <v>20399.28</v>
      </c>
      <c r="D3784" s="5"/>
    </row>
    <row r="3785" spans="1:4" ht="12.75">
      <c r="A3785" s="17" t="s">
        <v>635</v>
      </c>
      <c r="B3785" s="33" t="s">
        <v>320</v>
      </c>
      <c r="C3785" s="34">
        <v>52.39</v>
      </c>
      <c r="D3785" s="5"/>
    </row>
    <row r="3786" spans="1:4" ht="12.75">
      <c r="A3786" s="17" t="s">
        <v>637</v>
      </c>
      <c r="B3786" s="160" t="s">
        <v>321</v>
      </c>
      <c r="C3786" s="34">
        <v>19397.07</v>
      </c>
      <c r="D3786" s="5"/>
    </row>
    <row r="3787" spans="1:4" ht="12.75">
      <c r="A3787" s="17" t="s">
        <v>639</v>
      </c>
      <c r="B3787" s="35" t="s">
        <v>322</v>
      </c>
      <c r="C3787" s="34">
        <v>11810.07</v>
      </c>
      <c r="D3787" s="5"/>
    </row>
    <row r="3788" spans="1:4" ht="12.75">
      <c r="A3788" s="30" t="s">
        <v>641</v>
      </c>
      <c r="B3788" s="33" t="s">
        <v>323</v>
      </c>
      <c r="C3788" s="34">
        <f>5.4*230*12</f>
        <v>14904</v>
      </c>
      <c r="D3788" s="5"/>
    </row>
    <row r="3789" spans="1:4" ht="12.75">
      <c r="A3789" s="30" t="s">
        <v>717</v>
      </c>
      <c r="B3789" s="33" t="s">
        <v>324</v>
      </c>
      <c r="C3789" s="34">
        <f>C3775*0.15</f>
        <v>24493.553999999996</v>
      </c>
      <c r="D3789" s="5"/>
    </row>
    <row r="3790" spans="1:4" ht="12.75">
      <c r="A3790" s="17" t="s">
        <v>325</v>
      </c>
      <c r="B3790" s="33" t="s">
        <v>326</v>
      </c>
      <c r="C3790" s="192">
        <v>12422.39</v>
      </c>
      <c r="D3790" s="13"/>
    </row>
    <row r="3791" spans="1:3" ht="30">
      <c r="A3791" s="8"/>
      <c r="B3791" s="45" t="s">
        <v>607</v>
      </c>
      <c r="C3791" s="46">
        <f>C3777-C3780</f>
        <v>47848.56599999999</v>
      </c>
    </row>
    <row r="3792" spans="1:3" ht="15.75">
      <c r="A3792" s="8"/>
      <c r="B3792" s="45" t="s">
        <v>479</v>
      </c>
      <c r="C3792" s="46">
        <v>-147943.43</v>
      </c>
    </row>
    <row r="3793" spans="1:3" ht="15.75">
      <c r="A3793" s="8"/>
      <c r="B3793" s="45" t="s">
        <v>652</v>
      </c>
      <c r="C3793" s="46">
        <f>C3791+C3792</f>
        <v>-100094.864</v>
      </c>
    </row>
    <row r="3794" spans="1:4" ht="15.75">
      <c r="A3794" s="8"/>
      <c r="B3794" s="45"/>
      <c r="C3794" s="46"/>
      <c r="D3794" s="5"/>
    </row>
    <row r="3795" spans="1:4" ht="15.75">
      <c r="A3795" s="8"/>
      <c r="B3795" s="45" t="s">
        <v>653</v>
      </c>
      <c r="C3795" s="46">
        <f>C3777-(C3773+C3774)</f>
        <v>-16684.850000000035</v>
      </c>
      <c r="D3795" s="13"/>
    </row>
    <row r="3796" spans="1:4" ht="15.75">
      <c r="A3796" s="8"/>
      <c r="B3796" s="45" t="s">
        <v>654</v>
      </c>
      <c r="C3796" s="46">
        <v>-10993.66</v>
      </c>
      <c r="D3796" s="13"/>
    </row>
    <row r="3797" spans="1:4" ht="15.75">
      <c r="A3797" s="8"/>
      <c r="B3797" s="45" t="s">
        <v>726</v>
      </c>
      <c r="C3797" s="46">
        <v>-5691.19</v>
      </c>
      <c r="D3797" s="5"/>
    </row>
    <row r="3798" spans="1:3" ht="15.75">
      <c r="A3798" s="43"/>
      <c r="B3798" s="36"/>
      <c r="C3798" s="23"/>
    </row>
    <row r="3800" ht="12.75">
      <c r="B3800" t="s">
        <v>755</v>
      </c>
    </row>
    <row r="3801" ht="12.75">
      <c r="B3801" t="s">
        <v>63</v>
      </c>
    </row>
    <row r="3802" spans="2:3" ht="12.75">
      <c r="B3802" t="s">
        <v>327</v>
      </c>
      <c r="C3802" s="231">
        <f>1951*58.87</f>
        <v>114855.37</v>
      </c>
    </row>
    <row r="3803" spans="2:3" ht="12.75">
      <c r="B3803" t="s">
        <v>328</v>
      </c>
      <c r="C3803" s="231">
        <v>112734.28</v>
      </c>
    </row>
    <row r="3804" spans="2:3" ht="15">
      <c r="B3804" s="114" t="s">
        <v>329</v>
      </c>
      <c r="C3804" s="232">
        <f>C3802-C3803</f>
        <v>2121.0899999999965</v>
      </c>
    </row>
    <row r="3805" ht="52.5" customHeight="1"/>
    <row r="3806" spans="2:4" ht="15">
      <c r="B3806" s="196" t="s">
        <v>609</v>
      </c>
      <c r="C3806" s="196"/>
      <c r="D3806" s="196"/>
    </row>
    <row r="3807" spans="2:4" ht="15">
      <c r="B3807" s="197" t="s">
        <v>704</v>
      </c>
      <c r="C3807" s="197"/>
      <c r="D3807" s="1"/>
    </row>
    <row r="3808" spans="2:4" ht="18.75">
      <c r="B3808" s="198" t="s">
        <v>330</v>
      </c>
      <c r="C3808" s="198"/>
      <c r="D3808" s="198"/>
    </row>
    <row r="3809" spans="2:4" ht="15.75">
      <c r="B3809" s="199" t="s">
        <v>612</v>
      </c>
      <c r="C3809" s="199"/>
      <c r="D3809" s="199"/>
    </row>
    <row r="3810" spans="2:4" ht="14.25">
      <c r="B3810" s="6"/>
      <c r="C3810" s="7"/>
      <c r="D3810" s="5"/>
    </row>
    <row r="3811" spans="1:4" ht="15">
      <c r="A3811" s="8"/>
      <c r="B3811" s="9" t="s">
        <v>613</v>
      </c>
      <c r="C3811" s="10">
        <v>461.02</v>
      </c>
      <c r="D3811" s="5"/>
    </row>
    <row r="3812" spans="1:4" ht="12.75">
      <c r="A3812" s="8"/>
      <c r="B3812" s="11" t="s">
        <v>614</v>
      </c>
      <c r="C3812" s="12">
        <v>3.74</v>
      </c>
      <c r="D3812" s="13"/>
    </row>
    <row r="3813" spans="1:4" ht="12.75">
      <c r="A3813" s="8"/>
      <c r="B3813" s="14" t="s">
        <v>615</v>
      </c>
      <c r="C3813" s="12">
        <v>6.42</v>
      </c>
      <c r="D3813" s="13"/>
    </row>
    <row r="3814" spans="1:4" ht="18.75">
      <c r="A3814" s="8"/>
      <c r="B3814" s="15" t="s">
        <v>616</v>
      </c>
      <c r="C3814" s="16">
        <f>3079.8+5275.58+1319.84+2408.63</f>
        <v>12083.850000000002</v>
      </c>
      <c r="D3814" s="13"/>
    </row>
    <row r="3815" spans="1:4" ht="18.75">
      <c r="A3815" s="17">
        <v>1</v>
      </c>
      <c r="B3815" s="18" t="s">
        <v>617</v>
      </c>
      <c r="C3815" s="16">
        <f>C3816+C3817</f>
        <v>83638.54000000001</v>
      </c>
      <c r="D3815" s="5"/>
    </row>
    <row r="3816" spans="1:4" ht="15">
      <c r="A3816" s="17" t="s">
        <v>706</v>
      </c>
      <c r="B3816" s="19" t="s">
        <v>591</v>
      </c>
      <c r="C3816" s="20">
        <f>20689.68+35515.44</f>
        <v>56205.12</v>
      </c>
      <c r="D3816" s="5"/>
    </row>
    <row r="3817" spans="1:4" ht="15">
      <c r="A3817" s="17" t="s">
        <v>708</v>
      </c>
      <c r="B3817" s="19" t="s">
        <v>709</v>
      </c>
      <c r="C3817" s="20">
        <f>9692.8+17740.62</f>
        <v>27433.42</v>
      </c>
      <c r="D3817" s="5"/>
    </row>
    <row r="3818" spans="1:4" ht="18">
      <c r="A3818" s="17">
        <v>2</v>
      </c>
      <c r="B3818" s="18" t="s">
        <v>620</v>
      </c>
      <c r="C3818" s="21">
        <f>C3819+C3820</f>
        <v>82342.35999999999</v>
      </c>
      <c r="D3818" s="13"/>
    </row>
    <row r="3819" spans="1:4" ht="15.75">
      <c r="A3819" s="17" t="s">
        <v>621</v>
      </c>
      <c r="B3819" s="157" t="s">
        <v>545</v>
      </c>
      <c r="C3819" s="23">
        <f>20079.19+34464.57</f>
        <v>54543.759999999995</v>
      </c>
      <c r="D3819" s="13"/>
    </row>
    <row r="3820" spans="1:4" ht="15.75">
      <c r="A3820" s="17" t="s">
        <v>623</v>
      </c>
      <c r="B3820" s="157" t="s">
        <v>416</v>
      </c>
      <c r="C3820" s="23">
        <f>9816.08+17982.52</f>
        <v>27798.6</v>
      </c>
      <c r="D3820" s="5"/>
    </row>
    <row r="3821" spans="1:4" ht="36">
      <c r="A3821" s="17">
        <v>5</v>
      </c>
      <c r="B3821" s="24" t="s">
        <v>625</v>
      </c>
      <c r="C3821" s="27">
        <f>C3822+C3824</f>
        <v>77260.508</v>
      </c>
      <c r="D3821" s="13"/>
    </row>
    <row r="3822" spans="1:4" ht="18.75">
      <c r="A3822" s="86" t="s">
        <v>627</v>
      </c>
      <c r="B3822" s="87" t="s">
        <v>626</v>
      </c>
      <c r="C3822" s="27">
        <f>C3823</f>
        <v>26609.239999999998</v>
      </c>
      <c r="D3822" s="13"/>
    </row>
    <row r="3823" spans="1:4" ht="15.75">
      <c r="A3823" s="17"/>
      <c r="B3823" s="87" t="s">
        <v>713</v>
      </c>
      <c r="C3823" s="88">
        <f>452*58.87</f>
        <v>26609.239999999998</v>
      </c>
      <c r="D3823" s="13"/>
    </row>
    <row r="3824" spans="1:4" ht="18.75">
      <c r="A3824" s="17" t="s">
        <v>629</v>
      </c>
      <c r="B3824" s="87" t="s">
        <v>630</v>
      </c>
      <c r="C3824" s="27">
        <f>C3825+C3826+C3827+C3828+C3829+C3830+C3831</f>
        <v>50651.268000000004</v>
      </c>
      <c r="D3824" s="13"/>
    </row>
    <row r="3825" spans="1:4" ht="25.5">
      <c r="A3825" s="30" t="s">
        <v>631</v>
      </c>
      <c r="B3825" s="31" t="s">
        <v>632</v>
      </c>
      <c r="C3825" s="32">
        <v>14765.07</v>
      </c>
      <c r="D3825" s="5"/>
    </row>
    <row r="3826" spans="1:4" ht="12.75">
      <c r="A3826" s="17" t="s">
        <v>633</v>
      </c>
      <c r="B3826" s="33" t="s">
        <v>634</v>
      </c>
      <c r="C3826" s="34">
        <v>32.57</v>
      </c>
      <c r="D3826" s="5"/>
    </row>
    <row r="3827" spans="1:4" ht="12.75">
      <c r="A3827" s="17"/>
      <c r="B3827" s="36" t="s">
        <v>331</v>
      </c>
      <c r="C3827" s="34">
        <v>17082.02</v>
      </c>
      <c r="D3827" s="5"/>
    </row>
    <row r="3828" spans="1:4" ht="12.75">
      <c r="A3828" s="17"/>
      <c r="B3828" s="160" t="s">
        <v>795</v>
      </c>
      <c r="C3828" s="34">
        <v>1166.22</v>
      </c>
      <c r="D3828" s="5"/>
    </row>
    <row r="3829" spans="1:4" ht="12.75">
      <c r="A3829" s="30" t="s">
        <v>639</v>
      </c>
      <c r="B3829" s="33" t="s">
        <v>332</v>
      </c>
      <c r="C3829" s="34">
        <f>2.1*230*12</f>
        <v>5796</v>
      </c>
      <c r="D3829" s="5"/>
    </row>
    <row r="3830" spans="1:4" ht="12.75">
      <c r="A3830" s="30" t="s">
        <v>647</v>
      </c>
      <c r="B3830" s="33" t="s">
        <v>646</v>
      </c>
      <c r="C3830" s="34">
        <f>C3816*0.15</f>
        <v>8430.768</v>
      </c>
      <c r="D3830" s="5"/>
    </row>
    <row r="3831" spans="1:4" ht="12.75">
      <c r="A3831" s="17" t="s">
        <v>717</v>
      </c>
      <c r="B3831" s="33" t="s">
        <v>648</v>
      </c>
      <c r="C3831" s="192">
        <v>3378.62</v>
      </c>
      <c r="D3831" s="13"/>
    </row>
    <row r="3832" spans="1:4" ht="12.75">
      <c r="A3832" s="17"/>
      <c r="B3832" s="33"/>
      <c r="C3832" s="192"/>
      <c r="D3832" s="13"/>
    </row>
    <row r="3833" spans="1:4" ht="30">
      <c r="A3833" s="8"/>
      <c r="B3833" s="45" t="s">
        <v>607</v>
      </c>
      <c r="C3833" s="46">
        <f>C3818-C3821</f>
        <v>5081.851999999984</v>
      </c>
      <c r="D3833" s="5"/>
    </row>
    <row r="3834" spans="1:4" ht="15.75">
      <c r="A3834" s="8"/>
      <c r="B3834" s="45" t="s">
        <v>479</v>
      </c>
      <c r="C3834" s="46">
        <v>23121.01</v>
      </c>
      <c r="D3834" s="5"/>
    </row>
    <row r="3835" spans="1:4" ht="15.75">
      <c r="A3835" s="8"/>
      <c r="B3835" s="45" t="s">
        <v>652</v>
      </c>
      <c r="C3835" s="46">
        <f>C3833+C3834</f>
        <v>28202.861999999983</v>
      </c>
      <c r="D3835" s="5"/>
    </row>
    <row r="3836" spans="1:4" ht="15.75">
      <c r="A3836" s="8"/>
      <c r="B3836" s="45"/>
      <c r="C3836" s="46"/>
      <c r="D3836" s="5"/>
    </row>
    <row r="3837" spans="1:4" ht="15.75">
      <c r="A3837" s="8"/>
      <c r="B3837" s="45" t="s">
        <v>653</v>
      </c>
      <c r="C3837" s="46">
        <f>C3818-(C3814+C3815)</f>
        <v>-13380.030000000028</v>
      </c>
      <c r="D3837" s="13"/>
    </row>
    <row r="3838" spans="1:4" ht="15.75">
      <c r="A3838" s="8"/>
      <c r="B3838" s="45" t="s">
        <v>654</v>
      </c>
      <c r="C3838" s="46">
        <v>-10016.74</v>
      </c>
      <c r="D3838" s="5"/>
    </row>
    <row r="3839" spans="1:4" ht="15.75">
      <c r="A3839" s="8"/>
      <c r="B3839" s="45" t="s">
        <v>726</v>
      </c>
      <c r="C3839" s="46">
        <v>-3363.29</v>
      </c>
      <c r="D3839" s="5"/>
    </row>
    <row r="3840" spans="1:3" ht="15.75">
      <c r="A3840" s="8"/>
      <c r="B3840" s="83" t="s">
        <v>333</v>
      </c>
      <c r="C3840" s="23">
        <v>954</v>
      </c>
    </row>
    <row r="3842" ht="12.75">
      <c r="B3842" t="s">
        <v>755</v>
      </c>
    </row>
    <row r="3843" ht="12.75">
      <c r="B3843" t="s">
        <v>63</v>
      </c>
    </row>
    <row r="3844" spans="2:3" ht="12.75">
      <c r="B3844" t="s">
        <v>334</v>
      </c>
      <c r="C3844" s="113">
        <f>2075*58.87</f>
        <v>122155.25</v>
      </c>
    </row>
    <row r="3845" spans="2:3" ht="12.75">
      <c r="B3845" t="s">
        <v>335</v>
      </c>
      <c r="C3845" s="113">
        <f>2227.14*58.87</f>
        <v>131111.73179999998</v>
      </c>
    </row>
    <row r="3846" spans="2:3" ht="15">
      <c r="B3846" s="114" t="s">
        <v>336</v>
      </c>
      <c r="C3846" s="115">
        <f>C3844-C3845</f>
        <v>-8956.48179999998</v>
      </c>
    </row>
    <row r="3847" ht="54" customHeight="1"/>
    <row r="3848" spans="2:4" ht="15">
      <c r="B3848" s="196" t="s">
        <v>609</v>
      </c>
      <c r="C3848" s="196"/>
      <c r="D3848" s="196"/>
    </row>
    <row r="3849" spans="2:4" ht="15">
      <c r="B3849" s="197" t="s">
        <v>704</v>
      </c>
      <c r="C3849" s="197"/>
      <c r="D3849" s="1"/>
    </row>
    <row r="3850" spans="2:4" ht="18.75">
      <c r="B3850" s="198" t="s">
        <v>337</v>
      </c>
      <c r="C3850" s="198"/>
      <c r="D3850" s="198"/>
    </row>
    <row r="3851" spans="2:4" ht="15.75">
      <c r="B3851" s="199" t="s">
        <v>612</v>
      </c>
      <c r="C3851" s="199"/>
      <c r="D3851" s="199"/>
    </row>
    <row r="3852" spans="2:4" ht="14.25">
      <c r="B3852" s="6"/>
      <c r="C3852" s="7"/>
      <c r="D3852" s="5"/>
    </row>
    <row r="3853" spans="1:4" ht="15">
      <c r="A3853" s="8"/>
      <c r="B3853" s="9" t="s">
        <v>613</v>
      </c>
      <c r="C3853" s="10">
        <v>123</v>
      </c>
      <c r="D3853" s="5"/>
    </row>
    <row r="3854" spans="1:4" ht="12.75">
      <c r="A3854" s="8"/>
      <c r="B3854" s="11" t="s">
        <v>614</v>
      </c>
      <c r="C3854" s="12">
        <v>4.28</v>
      </c>
      <c r="D3854" s="13"/>
    </row>
    <row r="3855" spans="1:4" ht="12.75">
      <c r="A3855" s="8"/>
      <c r="B3855" s="14" t="s">
        <v>615</v>
      </c>
      <c r="C3855" s="12">
        <v>7.34</v>
      </c>
      <c r="D3855" s="13"/>
    </row>
    <row r="3856" spans="1:4" ht="18.75">
      <c r="A3856" s="8"/>
      <c r="B3856" s="15" t="s">
        <v>616</v>
      </c>
      <c r="C3856" s="16">
        <f>425.1+728.24+349.58+667.69</f>
        <v>2170.61</v>
      </c>
      <c r="D3856" s="13"/>
    </row>
    <row r="3857" spans="1:4" ht="18.75">
      <c r="A3857" s="17">
        <v>1</v>
      </c>
      <c r="B3857" s="18" t="s">
        <v>617</v>
      </c>
      <c r="C3857" s="16">
        <f>C3858+C3859</f>
        <v>30329.600000000002</v>
      </c>
      <c r="D3857" s="5"/>
    </row>
    <row r="3858" spans="1:4" ht="15">
      <c r="A3858" s="17" t="s">
        <v>706</v>
      </c>
      <c r="B3858" s="19" t="s">
        <v>591</v>
      </c>
      <c r="C3858" s="20">
        <f>6314.16+10828.56</f>
        <v>17142.72</v>
      </c>
      <c r="D3858" s="5"/>
    </row>
    <row r="3859" spans="1:4" ht="15">
      <c r="A3859" s="17" t="s">
        <v>708</v>
      </c>
      <c r="B3859" s="19" t="s">
        <v>709</v>
      </c>
      <c r="C3859" s="20">
        <f>4659.2+8527.68</f>
        <v>13186.880000000001</v>
      </c>
      <c r="D3859" s="5"/>
    </row>
    <row r="3860" spans="1:4" ht="18">
      <c r="A3860" s="17">
        <v>2</v>
      </c>
      <c r="B3860" s="18" t="s">
        <v>620</v>
      </c>
      <c r="C3860" s="21">
        <f>C3861+C3862</f>
        <v>30012.03</v>
      </c>
      <c r="D3860" s="13"/>
    </row>
    <row r="3861" spans="1:4" ht="15.75">
      <c r="A3861" s="17" t="s">
        <v>621</v>
      </c>
      <c r="B3861" s="157" t="s">
        <v>545</v>
      </c>
      <c r="C3861" s="23">
        <f>6156.71+10557.71</f>
        <v>16714.42</v>
      </c>
      <c r="D3861" s="13"/>
    </row>
    <row r="3862" spans="1:4" ht="15.75">
      <c r="A3862" s="17" t="s">
        <v>623</v>
      </c>
      <c r="B3862" s="157" t="s">
        <v>416</v>
      </c>
      <c r="C3862" s="23">
        <f>4688.48+8609.13</f>
        <v>13297.609999999999</v>
      </c>
      <c r="D3862" s="5"/>
    </row>
    <row r="3863" spans="1:4" ht="36">
      <c r="A3863" s="17">
        <v>5</v>
      </c>
      <c r="B3863" s="24" t="s">
        <v>625</v>
      </c>
      <c r="C3863" s="27">
        <f>C3864+C3866</f>
        <v>28281.438000000002</v>
      </c>
      <c r="D3863" s="13"/>
    </row>
    <row r="3864" spans="1:4" ht="18.75">
      <c r="A3864" s="86" t="s">
        <v>627</v>
      </c>
      <c r="B3864" s="87" t="s">
        <v>626</v>
      </c>
      <c r="C3864" s="27">
        <f>C3865</f>
        <v>9654.68</v>
      </c>
      <c r="D3864" s="13"/>
    </row>
    <row r="3865" spans="1:4" ht="15.75">
      <c r="A3865" s="17"/>
      <c r="B3865" s="87" t="s">
        <v>713</v>
      </c>
      <c r="C3865" s="88">
        <f>164*58.87</f>
        <v>9654.68</v>
      </c>
      <c r="D3865" s="13"/>
    </row>
    <row r="3866" spans="1:4" ht="18.75">
      <c r="A3866" s="17" t="s">
        <v>629</v>
      </c>
      <c r="B3866" s="87" t="s">
        <v>630</v>
      </c>
      <c r="C3866" s="27">
        <f>C3867+C3868+C3869+C3870+C3871</f>
        <v>18626.758</v>
      </c>
      <c r="D3866" s="13"/>
    </row>
    <row r="3867" spans="1:4" ht="25.5">
      <c r="A3867" s="30" t="s">
        <v>631</v>
      </c>
      <c r="B3867" s="31" t="s">
        <v>632</v>
      </c>
      <c r="C3867" s="32">
        <v>7827.1</v>
      </c>
      <c r="D3867" s="5"/>
    </row>
    <row r="3868" spans="1:4" ht="12.75">
      <c r="A3868" s="17" t="s">
        <v>633</v>
      </c>
      <c r="B3868" s="33" t="s">
        <v>634</v>
      </c>
      <c r="C3868" s="34">
        <v>0</v>
      </c>
      <c r="D3868" s="5"/>
    </row>
    <row r="3869" spans="1:4" ht="12.75">
      <c r="A3869" s="30" t="s">
        <v>639</v>
      </c>
      <c r="B3869" s="33" t="s">
        <v>338</v>
      </c>
      <c r="C3869" s="34">
        <f>1*230*12</f>
        <v>2760</v>
      </c>
      <c r="D3869" s="5"/>
    </row>
    <row r="3870" spans="1:4" ht="12.75">
      <c r="A3870" s="30" t="s">
        <v>647</v>
      </c>
      <c r="B3870" s="33" t="s">
        <v>646</v>
      </c>
      <c r="C3870" s="34">
        <f>C3858*0.15</f>
        <v>2571.408</v>
      </c>
      <c r="D3870" s="5"/>
    </row>
    <row r="3871" spans="1:4" ht="12.75">
      <c r="A3871" s="17" t="s">
        <v>717</v>
      </c>
      <c r="B3871" s="33" t="s">
        <v>648</v>
      </c>
      <c r="C3871" s="192">
        <v>5468.25</v>
      </c>
      <c r="D3871" s="13"/>
    </row>
    <row r="3872" spans="1:4" ht="12.75">
      <c r="A3872" s="8"/>
      <c r="B3872" s="37"/>
      <c r="C3872" s="181"/>
      <c r="D3872" s="5"/>
    </row>
    <row r="3873" spans="1:4" ht="30">
      <c r="A3873" s="8"/>
      <c r="B3873" s="45" t="s">
        <v>607</v>
      </c>
      <c r="C3873" s="46">
        <f>C3860-C3863</f>
        <v>1730.591999999997</v>
      </c>
      <c r="D3873" s="5"/>
    </row>
    <row r="3874" spans="1:4" ht="15.75">
      <c r="A3874" s="8"/>
      <c r="B3874" s="45" t="s">
        <v>479</v>
      </c>
      <c r="C3874" s="46">
        <v>-6594.1</v>
      </c>
      <c r="D3874" s="5"/>
    </row>
    <row r="3875" spans="1:4" ht="15.75">
      <c r="A3875" s="8"/>
      <c r="B3875" s="45" t="s">
        <v>652</v>
      </c>
      <c r="C3875" s="46">
        <f>C3873+C3874</f>
        <v>-4863.508000000003</v>
      </c>
      <c r="D3875" s="5"/>
    </row>
    <row r="3876" spans="1:4" ht="15.75">
      <c r="A3876" s="8"/>
      <c r="B3876" s="45"/>
      <c r="C3876" s="46"/>
      <c r="D3876" s="5"/>
    </row>
    <row r="3877" spans="1:4" ht="15.75">
      <c r="A3877" s="8"/>
      <c r="B3877" s="45" t="s">
        <v>653</v>
      </c>
      <c r="C3877" s="46">
        <f>C3860-(C3856+C3857)</f>
        <v>-2488.180000000004</v>
      </c>
      <c r="D3877" s="13"/>
    </row>
    <row r="3878" spans="1:4" ht="15.75">
      <c r="A3878" s="8"/>
      <c r="B3878" s="45" t="s">
        <v>654</v>
      </c>
      <c r="C3878" s="46">
        <v>-1581.64</v>
      </c>
      <c r="D3878" s="5"/>
    </row>
    <row r="3879" spans="1:4" ht="15.75">
      <c r="A3879" s="8"/>
      <c r="B3879" s="45" t="s">
        <v>726</v>
      </c>
      <c r="C3879" s="46">
        <v>-906.54</v>
      </c>
      <c r="D3879" s="5"/>
    </row>
    <row r="3880" ht="54" customHeight="1"/>
    <row r="3881" spans="2:4" ht="15">
      <c r="B3881" s="196" t="s">
        <v>609</v>
      </c>
      <c r="C3881" s="196"/>
      <c r="D3881" s="196"/>
    </row>
    <row r="3882" spans="2:4" ht="15">
      <c r="B3882" s="197" t="s">
        <v>704</v>
      </c>
      <c r="C3882" s="197"/>
      <c r="D3882" s="1"/>
    </row>
    <row r="3883" spans="2:4" ht="18.75">
      <c r="B3883" s="198" t="s">
        <v>339</v>
      </c>
      <c r="C3883" s="198"/>
      <c r="D3883" s="198"/>
    </row>
    <row r="3884" spans="2:4" ht="15.75">
      <c r="B3884" s="199" t="s">
        <v>612</v>
      </c>
      <c r="C3884" s="199"/>
      <c r="D3884" s="199"/>
    </row>
    <row r="3885" spans="2:4" ht="14.25">
      <c r="B3885" s="6"/>
      <c r="C3885" s="7"/>
      <c r="D3885" s="5"/>
    </row>
    <row r="3886" spans="1:4" ht="15">
      <c r="A3886" s="8"/>
      <c r="B3886" s="9" t="s">
        <v>613</v>
      </c>
      <c r="C3886" s="10">
        <v>133.6</v>
      </c>
      <c r="D3886" s="5"/>
    </row>
    <row r="3887" spans="1:4" ht="12.75">
      <c r="A3887" s="8"/>
      <c r="B3887" s="11" t="s">
        <v>614</v>
      </c>
      <c r="C3887" s="12">
        <v>5.33</v>
      </c>
      <c r="D3887" s="13"/>
    </row>
    <row r="3888" spans="1:4" ht="12.75">
      <c r="A3888" s="8"/>
      <c r="B3888" s="14" t="s">
        <v>615</v>
      </c>
      <c r="C3888" s="12">
        <v>9.16</v>
      </c>
      <c r="D3888" s="13"/>
    </row>
    <row r="3889" spans="1:4" ht="18.75">
      <c r="A3889" s="8"/>
      <c r="B3889" s="15" t="s">
        <v>616</v>
      </c>
      <c r="C3889" s="16">
        <f>266.8+458.28</f>
        <v>725.0799999999999</v>
      </c>
      <c r="D3889" s="13"/>
    </row>
    <row r="3890" spans="1:4" ht="18.75">
      <c r="A3890" s="17">
        <v>1</v>
      </c>
      <c r="B3890" s="18" t="s">
        <v>617</v>
      </c>
      <c r="C3890" s="16">
        <f>C3891+C3892</f>
        <v>31885.78</v>
      </c>
      <c r="D3890" s="5"/>
    </row>
    <row r="3891" spans="1:4" ht="15">
      <c r="A3891" s="17" t="s">
        <v>706</v>
      </c>
      <c r="B3891" s="19" t="s">
        <v>591</v>
      </c>
      <c r="C3891" s="20">
        <f>8545.62+14686.27</f>
        <v>23231.89</v>
      </c>
      <c r="D3891" s="5"/>
    </row>
    <row r="3892" spans="1:4" ht="15">
      <c r="A3892" s="17" t="s">
        <v>708</v>
      </c>
      <c r="B3892" s="19" t="s">
        <v>709</v>
      </c>
      <c r="C3892" s="20">
        <f>3057.6+5596.29</f>
        <v>8653.89</v>
      </c>
      <c r="D3892" s="5"/>
    </row>
    <row r="3893" spans="1:4" ht="18">
      <c r="A3893" s="17">
        <v>2</v>
      </c>
      <c r="B3893" s="18" t="s">
        <v>620</v>
      </c>
      <c r="C3893" s="21">
        <f>C3894+C3895</f>
        <v>30202.7</v>
      </c>
      <c r="D3893" s="13"/>
    </row>
    <row r="3894" spans="1:4" ht="15.75">
      <c r="A3894" s="17" t="s">
        <v>621</v>
      </c>
      <c r="B3894" s="157" t="s">
        <v>545</v>
      </c>
      <c r="C3894" s="23">
        <f>8127.45+13967.36</f>
        <v>22094.81</v>
      </c>
      <c r="D3894" s="13"/>
    </row>
    <row r="3895" spans="1:4" ht="15.75">
      <c r="A3895" s="17" t="s">
        <v>623</v>
      </c>
      <c r="B3895" s="157" t="s">
        <v>416</v>
      </c>
      <c r="C3895" s="23">
        <f>2864.69+5243.2</f>
        <v>8107.889999999999</v>
      </c>
      <c r="D3895" s="5"/>
    </row>
    <row r="3896" spans="1:4" ht="36">
      <c r="A3896" s="17">
        <v>5</v>
      </c>
      <c r="B3896" s="24" t="s">
        <v>625</v>
      </c>
      <c r="C3896" s="27">
        <f>C3897+C3899</f>
        <v>24452.4935</v>
      </c>
      <c r="D3896" s="13"/>
    </row>
    <row r="3897" spans="1:4" ht="18.75">
      <c r="A3897" s="86" t="s">
        <v>627</v>
      </c>
      <c r="B3897" s="87" t="s">
        <v>626</v>
      </c>
      <c r="C3897" s="27">
        <f>C3898</f>
        <v>11656.26</v>
      </c>
      <c r="D3897" s="13"/>
    </row>
    <row r="3898" spans="1:4" ht="15.75">
      <c r="A3898" s="17"/>
      <c r="B3898" s="87" t="s">
        <v>713</v>
      </c>
      <c r="C3898" s="88">
        <f>198*58.87</f>
        <v>11656.26</v>
      </c>
      <c r="D3898" s="13"/>
    </row>
    <row r="3899" spans="1:4" ht="18.75">
      <c r="A3899" s="17" t="s">
        <v>629</v>
      </c>
      <c r="B3899" s="87" t="s">
        <v>630</v>
      </c>
      <c r="C3899" s="27">
        <f>C3900+C3901+C3902+C3903+C3904</f>
        <v>12796.2335</v>
      </c>
      <c r="D3899" s="13"/>
    </row>
    <row r="3900" spans="1:4" ht="25.5">
      <c r="A3900" s="30" t="s">
        <v>631</v>
      </c>
      <c r="B3900" s="31" t="s">
        <v>632</v>
      </c>
      <c r="C3900" s="32">
        <v>8410.91</v>
      </c>
      <c r="D3900" s="5"/>
    </row>
    <row r="3901" spans="1:4" ht="12.75">
      <c r="A3901" s="17" t="s">
        <v>633</v>
      </c>
      <c r="B3901" s="160" t="s">
        <v>640</v>
      </c>
      <c r="C3901" s="34">
        <v>72.54</v>
      </c>
      <c r="D3901" s="5"/>
    </row>
    <row r="3902" spans="1:4" ht="12.75">
      <c r="A3902" s="30" t="s">
        <v>639</v>
      </c>
      <c r="B3902" s="33" t="s">
        <v>340</v>
      </c>
      <c r="C3902" s="34">
        <f>0.3*230*12</f>
        <v>828</v>
      </c>
      <c r="D3902" s="5"/>
    </row>
    <row r="3903" spans="1:4" ht="12.75">
      <c r="A3903" s="30" t="s">
        <v>647</v>
      </c>
      <c r="B3903" s="33" t="s">
        <v>646</v>
      </c>
      <c r="C3903" s="34">
        <f>C3891*0.15</f>
        <v>3484.7835</v>
      </c>
      <c r="D3903" s="5"/>
    </row>
    <row r="3904" spans="1:4" ht="12.75">
      <c r="A3904" s="17" t="s">
        <v>717</v>
      </c>
      <c r="B3904" s="33" t="s">
        <v>648</v>
      </c>
      <c r="C3904" s="192">
        <v>0</v>
      </c>
      <c r="D3904" s="13"/>
    </row>
    <row r="3905" spans="1:4" ht="12.75">
      <c r="A3905" s="8"/>
      <c r="B3905" s="37"/>
      <c r="C3905" s="181"/>
      <c r="D3905" s="5"/>
    </row>
    <row r="3906" spans="1:4" ht="30">
      <c r="A3906" s="8"/>
      <c r="B3906" s="45" t="s">
        <v>607</v>
      </c>
      <c r="C3906" s="46">
        <f>C3893-C3896</f>
        <v>5750.2065</v>
      </c>
      <c r="D3906" s="5"/>
    </row>
    <row r="3907" spans="1:4" ht="15.75">
      <c r="A3907" s="8"/>
      <c r="B3907" s="45" t="s">
        <v>479</v>
      </c>
      <c r="C3907" s="46">
        <v>484.74</v>
      </c>
      <c r="D3907" s="5"/>
    </row>
    <row r="3908" spans="1:4" ht="15.75">
      <c r="A3908" s="8"/>
      <c r="B3908" s="45" t="s">
        <v>652</v>
      </c>
      <c r="C3908" s="46">
        <f>C3906+C3907</f>
        <v>6234.9465</v>
      </c>
      <c r="D3908" s="5"/>
    </row>
    <row r="3909" spans="1:4" ht="15.75">
      <c r="A3909" s="8"/>
      <c r="B3909" s="45"/>
      <c r="C3909" s="46"/>
      <c r="D3909" s="5"/>
    </row>
    <row r="3910" spans="1:4" ht="15.75">
      <c r="A3910" s="8"/>
      <c r="B3910" s="45" t="s">
        <v>653</v>
      </c>
      <c r="C3910" s="46">
        <f>C3893-(C3889+C3890)</f>
        <v>-2408.16</v>
      </c>
      <c r="D3910" s="13"/>
    </row>
    <row r="3911" spans="1:4" ht="15.75">
      <c r="A3911" s="8"/>
      <c r="B3911" s="45" t="s">
        <v>654</v>
      </c>
      <c r="C3911" s="46">
        <v>-1862.16</v>
      </c>
      <c r="D3911" s="5"/>
    </row>
    <row r="3912" spans="1:4" ht="15.75">
      <c r="A3912" s="8"/>
      <c r="B3912" s="45" t="s">
        <v>726</v>
      </c>
      <c r="C3912" s="46">
        <v>-546</v>
      </c>
      <c r="D3912" s="5"/>
    </row>
    <row r="3914" ht="12.75">
      <c r="B3914" t="s">
        <v>755</v>
      </c>
    </row>
    <row r="3915" ht="12.75">
      <c r="B3915" t="s">
        <v>63</v>
      </c>
    </row>
    <row r="3916" spans="2:3" ht="12.75">
      <c r="B3916" t="s">
        <v>341</v>
      </c>
      <c r="C3916" s="112">
        <f>198*58.87</f>
        <v>11656.26</v>
      </c>
    </row>
    <row r="3917" spans="2:3" ht="12.75">
      <c r="B3917" t="s">
        <v>342</v>
      </c>
      <c r="C3917" s="113">
        <f>147*58.87</f>
        <v>8653.89</v>
      </c>
    </row>
    <row r="3918" spans="2:3" ht="15">
      <c r="B3918" s="114" t="s">
        <v>343</v>
      </c>
      <c r="C3918" s="115">
        <f>C3916-C3917</f>
        <v>3002.370000000001</v>
      </c>
    </row>
    <row r="3919" ht="54" customHeight="1"/>
    <row r="3920" spans="2:4" ht="15">
      <c r="B3920" s="196" t="s">
        <v>609</v>
      </c>
      <c r="C3920" s="196"/>
      <c r="D3920" s="196"/>
    </row>
    <row r="3921" spans="2:4" ht="15">
      <c r="B3921" s="197" t="s">
        <v>704</v>
      </c>
      <c r="C3921" s="197"/>
      <c r="D3921" s="1"/>
    </row>
    <row r="3922" spans="2:4" ht="18.75">
      <c r="B3922" s="198" t="s">
        <v>344</v>
      </c>
      <c r="C3922" s="198"/>
      <c r="D3922" s="198"/>
    </row>
    <row r="3923" spans="2:4" ht="15.75">
      <c r="B3923" s="199" t="s">
        <v>612</v>
      </c>
      <c r="C3923" s="199"/>
      <c r="D3923" s="199"/>
    </row>
    <row r="3924" spans="2:4" ht="14.25">
      <c r="B3924" s="6"/>
      <c r="C3924" s="7"/>
      <c r="D3924" s="5"/>
    </row>
    <row r="3925" spans="1:4" ht="15">
      <c r="A3925" s="8"/>
      <c r="B3925" s="9" t="s">
        <v>613</v>
      </c>
      <c r="C3925" s="10">
        <v>280.96</v>
      </c>
      <c r="D3925" s="5"/>
    </row>
    <row r="3926" spans="1:4" ht="12.75">
      <c r="A3926" s="8"/>
      <c r="B3926" s="11" t="s">
        <v>614</v>
      </c>
      <c r="C3926" s="12">
        <v>3.74</v>
      </c>
      <c r="D3926" s="13"/>
    </row>
    <row r="3927" spans="1:4" ht="12.75">
      <c r="A3927" s="8"/>
      <c r="B3927" s="14" t="s">
        <v>615</v>
      </c>
      <c r="C3927" s="12">
        <v>6.42</v>
      </c>
      <c r="D3927" s="13"/>
    </row>
    <row r="3928" spans="1:4" ht="18.75">
      <c r="A3928" s="8"/>
      <c r="B3928" s="15" t="s">
        <v>616</v>
      </c>
      <c r="C3928" s="16">
        <f>972.83+366.92+1668.02</f>
        <v>3007.77</v>
      </c>
      <c r="D3928" s="13"/>
    </row>
    <row r="3929" spans="1:4" ht="18.75">
      <c r="A3929" s="17">
        <v>1</v>
      </c>
      <c r="B3929" s="18" t="s">
        <v>617</v>
      </c>
      <c r="C3929" s="16">
        <f>C3930+C3931</f>
        <v>37846.04</v>
      </c>
      <c r="D3929" s="5"/>
    </row>
    <row r="3930" spans="1:4" ht="15">
      <c r="A3930" s="17" t="s">
        <v>706</v>
      </c>
      <c r="B3930" s="19" t="s">
        <v>413</v>
      </c>
      <c r="C3930" s="20">
        <f>12609.48+21645.24</f>
        <v>34254.72</v>
      </c>
      <c r="D3930" s="5"/>
    </row>
    <row r="3931" spans="1:4" ht="15">
      <c r="A3931" s="17" t="s">
        <v>708</v>
      </c>
      <c r="B3931" s="19" t="s">
        <v>345</v>
      </c>
      <c r="C3931" s="20">
        <f>3591.32</f>
        <v>3591.32</v>
      </c>
      <c r="D3931" s="5"/>
    </row>
    <row r="3932" spans="1:4" ht="18">
      <c r="A3932" s="17">
        <v>2</v>
      </c>
      <c r="B3932" s="18" t="s">
        <v>620</v>
      </c>
      <c r="C3932" s="21">
        <f>C3933+C3934</f>
        <v>38923.21000000001</v>
      </c>
      <c r="D3932" s="13"/>
    </row>
    <row r="3933" spans="1:4" ht="15.75">
      <c r="A3933" s="17" t="s">
        <v>621</v>
      </c>
      <c r="B3933" s="102" t="s">
        <v>346</v>
      </c>
      <c r="C3933" s="23">
        <f>12953.56+22233.99</f>
        <v>35187.55</v>
      </c>
      <c r="D3933" s="13"/>
    </row>
    <row r="3934" spans="1:4" ht="15.75">
      <c r="A3934" s="17" t="s">
        <v>623</v>
      </c>
      <c r="B3934" s="102" t="s">
        <v>347</v>
      </c>
      <c r="C3934" s="23">
        <f>3735.66</f>
        <v>3735.66</v>
      </c>
      <c r="D3934" s="5"/>
    </row>
    <row r="3935" spans="1:4" ht="36">
      <c r="A3935" s="17">
        <v>5</v>
      </c>
      <c r="B3935" s="24" t="s">
        <v>625</v>
      </c>
      <c r="C3935" s="27">
        <f>C3936+C3938</f>
        <v>23003.318</v>
      </c>
      <c r="D3935" s="13"/>
    </row>
    <row r="3936" spans="1:4" ht="18.75">
      <c r="A3936" s="86" t="s">
        <v>627</v>
      </c>
      <c r="B3936" s="87" t="s">
        <v>626</v>
      </c>
      <c r="C3936" s="27">
        <f>C3937</f>
        <v>2662.4</v>
      </c>
      <c r="D3936" s="13"/>
    </row>
    <row r="3937" spans="1:4" ht="15.75">
      <c r="A3937" s="17"/>
      <c r="B3937" s="87" t="s">
        <v>713</v>
      </c>
      <c r="C3937" s="88">
        <f>128*20.8</f>
        <v>2662.4</v>
      </c>
      <c r="D3937" s="13"/>
    </row>
    <row r="3938" spans="1:4" ht="18.75">
      <c r="A3938" s="17" t="s">
        <v>629</v>
      </c>
      <c r="B3938" s="87" t="s">
        <v>630</v>
      </c>
      <c r="C3938" s="27">
        <f>C3939+C3940+C3941+C3942+C3943+C3944</f>
        <v>20340.917999999998</v>
      </c>
      <c r="D3938" s="13"/>
    </row>
    <row r="3939" spans="1:4" ht="25.5">
      <c r="A3939" s="30" t="s">
        <v>631</v>
      </c>
      <c r="B3939" s="31" t="s">
        <v>632</v>
      </c>
      <c r="C3939" s="34">
        <v>10284.2</v>
      </c>
      <c r="D3939" s="5"/>
    </row>
    <row r="3940" spans="1:4" ht="12.75">
      <c r="A3940" s="30"/>
      <c r="B3940" s="160" t="s">
        <v>793</v>
      </c>
      <c r="C3940" s="34">
        <v>20.39</v>
      </c>
      <c r="D3940" s="5"/>
    </row>
    <row r="3941" spans="1:4" ht="12.75">
      <c r="A3941" s="17" t="s">
        <v>633</v>
      </c>
      <c r="B3941" s="160" t="s">
        <v>640</v>
      </c>
      <c r="C3941" s="34">
        <v>2753.73</v>
      </c>
      <c r="D3941" s="5"/>
    </row>
    <row r="3942" spans="1:4" ht="12.75">
      <c r="A3942" s="30" t="s">
        <v>639</v>
      </c>
      <c r="B3942" s="33" t="s">
        <v>348</v>
      </c>
      <c r="C3942" s="34">
        <f>0.7*230*12</f>
        <v>1932</v>
      </c>
      <c r="D3942" s="5"/>
    </row>
    <row r="3943" spans="1:4" ht="12.75">
      <c r="A3943" s="30" t="s">
        <v>647</v>
      </c>
      <c r="B3943" s="33" t="s">
        <v>646</v>
      </c>
      <c r="C3943" s="34">
        <f>C3930*0.15</f>
        <v>5138.208</v>
      </c>
      <c r="D3943" s="5"/>
    </row>
    <row r="3944" spans="1:4" ht="12.75">
      <c r="A3944" s="17" t="s">
        <v>717</v>
      </c>
      <c r="B3944" s="33" t="s">
        <v>648</v>
      </c>
      <c r="C3944" s="192">
        <v>212.39</v>
      </c>
      <c r="D3944" s="13"/>
    </row>
    <row r="3945" spans="1:4" ht="12.75">
      <c r="A3945" s="8"/>
      <c r="B3945" s="233"/>
      <c r="C3945" s="96"/>
      <c r="D3945" s="5"/>
    </row>
    <row r="3946" spans="1:4" ht="30">
      <c r="A3946" s="8"/>
      <c r="B3946" s="45" t="s">
        <v>607</v>
      </c>
      <c r="C3946" s="46">
        <f>C3932-C3935</f>
        <v>15919.892000000007</v>
      </c>
      <c r="D3946" s="5"/>
    </row>
    <row r="3947" spans="1:4" ht="15.75">
      <c r="A3947" s="8"/>
      <c r="B3947" s="45" t="s">
        <v>479</v>
      </c>
      <c r="C3947" s="46">
        <v>-9990.87</v>
      </c>
      <c r="D3947" s="5"/>
    </row>
    <row r="3948" spans="1:4" ht="15.75">
      <c r="A3948" s="8"/>
      <c r="B3948" s="45" t="s">
        <v>652</v>
      </c>
      <c r="C3948" s="46">
        <f>C3946+C3947</f>
        <v>5929.022000000006</v>
      </c>
      <c r="D3948" s="5"/>
    </row>
    <row r="3949" spans="1:4" ht="15.75">
      <c r="A3949" s="8"/>
      <c r="B3949" s="45"/>
      <c r="C3949" s="46"/>
      <c r="D3949" s="5"/>
    </row>
    <row r="3950" spans="1:4" ht="15.75">
      <c r="A3950" s="8"/>
      <c r="B3950" s="45" t="s">
        <v>653</v>
      </c>
      <c r="C3950" s="46">
        <f>C3932-(C3928+C3929)</f>
        <v>-1930.5999999999913</v>
      </c>
      <c r="D3950" s="13"/>
    </row>
    <row r="3951" spans="1:4" ht="15.75">
      <c r="A3951" s="8"/>
      <c r="B3951" s="45" t="s">
        <v>654</v>
      </c>
      <c r="C3951" s="46">
        <v>-1862.16</v>
      </c>
      <c r="D3951" s="5"/>
    </row>
    <row r="3952" spans="1:4" ht="15.75">
      <c r="A3952" s="8"/>
      <c r="B3952" s="45" t="s">
        <v>726</v>
      </c>
      <c r="C3952" s="46">
        <v>-546</v>
      </c>
      <c r="D3952" s="5"/>
    </row>
    <row r="3954" ht="12.75">
      <c r="B3954" t="s">
        <v>755</v>
      </c>
    </row>
    <row r="3955" ht="12.75">
      <c r="B3955" t="s">
        <v>63</v>
      </c>
    </row>
    <row r="3956" spans="2:3" ht="12.75">
      <c r="B3956" t="s">
        <v>349</v>
      </c>
      <c r="C3956" s="112">
        <f>128*20.8</f>
        <v>2662.4</v>
      </c>
    </row>
    <row r="3957" spans="2:3" ht="12.75">
      <c r="B3957" t="s">
        <v>350</v>
      </c>
      <c r="C3957" s="113">
        <f>124.7*20.8</f>
        <v>2593.76</v>
      </c>
    </row>
    <row r="3958" spans="2:3" ht="15">
      <c r="B3958" s="114" t="s">
        <v>351</v>
      </c>
      <c r="C3958" s="115">
        <f>C3956-C3957</f>
        <v>68.63999999999987</v>
      </c>
    </row>
    <row r="3959" ht="54.75" customHeight="1"/>
    <row r="3960" spans="2:4" ht="15">
      <c r="B3960" s="196" t="s">
        <v>609</v>
      </c>
      <c r="C3960" s="196"/>
      <c r="D3960" s="196"/>
    </row>
    <row r="3961" spans="2:4" ht="15">
      <c r="B3961" s="197" t="s">
        <v>704</v>
      </c>
      <c r="C3961" s="197"/>
      <c r="D3961" s="1"/>
    </row>
    <row r="3962" spans="2:4" ht="18.75">
      <c r="B3962" s="198" t="s">
        <v>352</v>
      </c>
      <c r="C3962" s="198"/>
      <c r="D3962" s="198"/>
    </row>
    <row r="3963" spans="2:4" ht="15.75">
      <c r="B3963" s="199" t="s">
        <v>353</v>
      </c>
      <c r="C3963" s="199"/>
      <c r="D3963" s="199"/>
    </row>
    <row r="3964" spans="2:4" ht="14.25">
      <c r="B3964" s="6"/>
      <c r="C3964" s="7"/>
      <c r="D3964" s="5"/>
    </row>
    <row r="3965" spans="1:4" ht="15">
      <c r="A3965" s="8"/>
      <c r="B3965" s="9" t="s">
        <v>613</v>
      </c>
      <c r="C3965" s="10">
        <v>438.15</v>
      </c>
      <c r="D3965" s="5"/>
    </row>
    <row r="3966" spans="1:4" ht="12.75">
      <c r="A3966" s="8"/>
      <c r="B3966" s="11" t="s">
        <v>614</v>
      </c>
      <c r="C3966" s="12">
        <v>4.83</v>
      </c>
      <c r="D3966" s="13"/>
    </row>
    <row r="3967" spans="1:4" ht="12.75">
      <c r="A3967" s="8"/>
      <c r="B3967" s="14" t="s">
        <v>615</v>
      </c>
      <c r="C3967" s="12">
        <v>8.23</v>
      </c>
      <c r="D3967" s="13"/>
    </row>
    <row r="3968" spans="1:4" ht="18.75">
      <c r="A3968" s="8"/>
      <c r="B3968" s="15" t="s">
        <v>616</v>
      </c>
      <c r="C3968" s="16">
        <v>0</v>
      </c>
      <c r="D3968" s="13"/>
    </row>
    <row r="3969" spans="1:4" ht="18.75">
      <c r="A3969" s="17">
        <v>1</v>
      </c>
      <c r="B3969" s="18" t="s">
        <v>617</v>
      </c>
      <c r="C3969" s="16">
        <f>C3970+C3971</f>
        <v>69193.89</v>
      </c>
      <c r="D3969" s="5"/>
    </row>
    <row r="3970" spans="1:4" ht="15">
      <c r="A3970" s="17" t="s">
        <v>706</v>
      </c>
      <c r="B3970" s="19" t="s">
        <v>413</v>
      </c>
      <c r="C3970" s="20">
        <f>19038.33+32453.17</f>
        <v>51491.5</v>
      </c>
      <c r="D3970" s="5"/>
    </row>
    <row r="3971" spans="1:4" ht="15">
      <c r="A3971" s="17" t="s">
        <v>708</v>
      </c>
      <c r="B3971" s="19" t="s">
        <v>709</v>
      </c>
      <c r="C3971" s="20">
        <f>6254.56+11447.83</f>
        <v>17702.39</v>
      </c>
      <c r="D3971" s="5"/>
    </row>
    <row r="3972" spans="1:4" ht="18">
      <c r="A3972" s="17">
        <v>2</v>
      </c>
      <c r="B3972" s="18" t="s">
        <v>620</v>
      </c>
      <c r="C3972" s="21">
        <f>C3973+C3974</f>
        <v>57659.759999999995</v>
      </c>
      <c r="D3972" s="13"/>
    </row>
    <row r="3973" spans="1:4" ht="15.75">
      <c r="A3973" s="17" t="s">
        <v>621</v>
      </c>
      <c r="B3973" s="102" t="s">
        <v>354</v>
      </c>
      <c r="C3973" s="23">
        <f>15492.72+26411.7</f>
        <v>41904.42</v>
      </c>
      <c r="D3973" s="13"/>
    </row>
    <row r="3974" spans="1:4" ht="15.75">
      <c r="A3974" s="17" t="s">
        <v>623</v>
      </c>
      <c r="B3974" s="102" t="s">
        <v>416</v>
      </c>
      <c r="C3974" s="23">
        <f>5566.63+10188.71</f>
        <v>15755.34</v>
      </c>
      <c r="D3974" s="5"/>
    </row>
    <row r="3975" spans="1:4" ht="36">
      <c r="A3975" s="17">
        <v>5</v>
      </c>
      <c r="B3975" s="24" t="s">
        <v>625</v>
      </c>
      <c r="C3975" s="27">
        <f>C3976+C3978</f>
        <v>63134.80499999999</v>
      </c>
      <c r="D3975" s="13"/>
    </row>
    <row r="3976" spans="1:4" ht="18.75">
      <c r="A3976" s="86" t="s">
        <v>627</v>
      </c>
      <c r="B3976" s="87" t="s">
        <v>626</v>
      </c>
      <c r="C3976" s="27">
        <f>C3977</f>
        <v>20251.28</v>
      </c>
      <c r="D3976" s="13"/>
    </row>
    <row r="3977" spans="1:4" ht="15.75">
      <c r="A3977" s="17"/>
      <c r="B3977" s="87" t="s">
        <v>713</v>
      </c>
      <c r="C3977" s="88">
        <f>344*58.87</f>
        <v>20251.28</v>
      </c>
      <c r="D3977" s="13"/>
    </row>
    <row r="3978" spans="1:4" ht="18.75">
      <c r="A3978" s="17" t="s">
        <v>629</v>
      </c>
      <c r="B3978" s="87" t="s">
        <v>630</v>
      </c>
      <c r="C3978" s="27">
        <f>C3979+C3980+C3982+C3983+C3984+C3985+C3986+C3987</f>
        <v>42883.524999999994</v>
      </c>
      <c r="D3978" s="13"/>
    </row>
    <row r="3979" spans="1:4" ht="25.5">
      <c r="A3979" s="30" t="s">
        <v>631</v>
      </c>
      <c r="B3979" s="31" t="s">
        <v>632</v>
      </c>
      <c r="C3979" s="32">
        <v>14245.67</v>
      </c>
      <c r="D3979" s="5"/>
    </row>
    <row r="3980" spans="1:4" ht="12.75">
      <c r="A3980" s="17" t="s">
        <v>633</v>
      </c>
      <c r="B3980" s="160" t="s">
        <v>640</v>
      </c>
      <c r="C3980" s="34">
        <v>1132.74</v>
      </c>
      <c r="D3980" s="5"/>
    </row>
    <row r="3981" spans="1:4" ht="12.75">
      <c r="A3981" s="17"/>
      <c r="B3981" s="160" t="s">
        <v>355</v>
      </c>
      <c r="C3981" s="34"/>
      <c r="D3981" s="5"/>
    </row>
    <row r="3982" spans="1:4" ht="12.75">
      <c r="A3982" s="17"/>
      <c r="B3982" s="36" t="s">
        <v>356</v>
      </c>
      <c r="C3982" s="34">
        <v>1600</v>
      </c>
      <c r="D3982" s="5"/>
    </row>
    <row r="3983" spans="1:4" ht="12.75">
      <c r="A3983" s="17"/>
      <c r="B3983" s="36" t="s">
        <v>357</v>
      </c>
      <c r="C3983" s="34">
        <v>724.84</v>
      </c>
      <c r="D3983" s="5"/>
    </row>
    <row r="3984" spans="1:4" ht="12.75">
      <c r="A3984" s="17"/>
      <c r="B3984" s="36" t="s">
        <v>358</v>
      </c>
      <c r="C3984" s="34">
        <v>165</v>
      </c>
      <c r="D3984" s="5"/>
    </row>
    <row r="3985" spans="1:4" ht="12.75">
      <c r="A3985" s="30" t="s">
        <v>639</v>
      </c>
      <c r="B3985" s="33" t="s">
        <v>359</v>
      </c>
      <c r="C3985" s="34">
        <f>1.1*230*9</f>
        <v>2277.0000000000005</v>
      </c>
      <c r="D3985" s="5"/>
    </row>
    <row r="3986" spans="1:4" ht="12.75">
      <c r="A3986" s="30" t="s">
        <v>647</v>
      </c>
      <c r="B3986" s="33" t="s">
        <v>646</v>
      </c>
      <c r="C3986" s="34">
        <f>C3970*0.15</f>
        <v>7723.724999999999</v>
      </c>
      <c r="D3986" s="5"/>
    </row>
    <row r="3987" spans="1:4" ht="12.75">
      <c r="A3987" s="17" t="s">
        <v>717</v>
      </c>
      <c r="B3987" s="33" t="s">
        <v>648</v>
      </c>
      <c r="C3987" s="192">
        <v>15014.55</v>
      </c>
      <c r="D3987" s="13"/>
    </row>
    <row r="3988" spans="1:4" ht="12.75">
      <c r="A3988" s="8"/>
      <c r="B3988" s="37"/>
      <c r="C3988" s="181"/>
      <c r="D3988" s="5"/>
    </row>
    <row r="3989" spans="1:4" ht="30">
      <c r="A3989" s="8"/>
      <c r="B3989" s="45" t="s">
        <v>607</v>
      </c>
      <c r="C3989" s="46">
        <f>C3972-C3975</f>
        <v>-5475.044999999998</v>
      </c>
      <c r="D3989" s="5"/>
    </row>
    <row r="3990" spans="1:4" ht="15.75">
      <c r="A3990" s="8"/>
      <c r="B3990" s="45" t="s">
        <v>479</v>
      </c>
      <c r="C3990" s="46">
        <v>0</v>
      </c>
      <c r="D3990" s="5"/>
    </row>
    <row r="3991" spans="1:4" ht="15.75">
      <c r="A3991" s="8"/>
      <c r="B3991" s="45" t="s">
        <v>652</v>
      </c>
      <c r="C3991" s="46">
        <f>C3989+C3990</f>
        <v>-5475.044999999998</v>
      </c>
      <c r="D3991" s="5"/>
    </row>
    <row r="3992" spans="1:4" ht="15.75">
      <c r="A3992" s="8"/>
      <c r="B3992" s="45"/>
      <c r="C3992" s="46"/>
      <c r="D3992" s="5"/>
    </row>
    <row r="3993" spans="1:4" ht="15.75">
      <c r="A3993" s="8"/>
      <c r="B3993" s="45" t="s">
        <v>653</v>
      </c>
      <c r="C3993" s="46">
        <f>C3972-(C3968+C3969)</f>
        <v>-11534.130000000005</v>
      </c>
      <c r="D3993" s="13"/>
    </row>
    <row r="3994" spans="1:4" ht="15.75">
      <c r="A3994" s="8"/>
      <c r="B3994" s="45" t="s">
        <v>654</v>
      </c>
      <c r="C3994" s="46">
        <v>-9587.08</v>
      </c>
      <c r="D3994" s="5"/>
    </row>
    <row r="3995" spans="1:4" ht="15.75">
      <c r="A3995" s="8"/>
      <c r="B3995" s="45" t="s">
        <v>726</v>
      </c>
      <c r="C3995" s="46">
        <v>-1947.05</v>
      </c>
      <c r="D3995" s="5"/>
    </row>
    <row r="3997" ht="12.75">
      <c r="B3997" t="s">
        <v>755</v>
      </c>
    </row>
    <row r="3998" ht="12.75">
      <c r="B3998" t="s">
        <v>63</v>
      </c>
    </row>
    <row r="3999" spans="2:3" ht="12.75">
      <c r="B3999" t="s">
        <v>360</v>
      </c>
      <c r="C3999" s="112">
        <f>344*58.87</f>
        <v>20251.28</v>
      </c>
    </row>
    <row r="4000" spans="2:3" ht="12.75">
      <c r="B4000" t="s">
        <v>361</v>
      </c>
      <c r="C4000" s="113">
        <f>304.75*58.87</f>
        <v>17940.6325</v>
      </c>
    </row>
    <row r="4001" spans="2:3" ht="15">
      <c r="B4001" s="114" t="s">
        <v>362</v>
      </c>
      <c r="C4001" s="115">
        <f>C3999-C4000</f>
        <v>2310.647499999999</v>
      </c>
    </row>
    <row r="4002" ht="51.75" customHeight="1"/>
    <row r="4003" spans="2:4" ht="15">
      <c r="B4003" s="196" t="s">
        <v>609</v>
      </c>
      <c r="C4003" s="196"/>
      <c r="D4003" s="196"/>
    </row>
    <row r="4004" spans="2:4" ht="15">
      <c r="B4004" s="197" t="s">
        <v>704</v>
      </c>
      <c r="C4004" s="197"/>
      <c r="D4004" s="1"/>
    </row>
    <row r="4005" spans="2:4" ht="18.75">
      <c r="B4005" s="198" t="s">
        <v>363</v>
      </c>
      <c r="C4005" s="198"/>
      <c r="D4005" s="198"/>
    </row>
    <row r="4006" spans="2:4" ht="15.75">
      <c r="B4006" s="199" t="s">
        <v>612</v>
      </c>
      <c r="C4006" s="199"/>
      <c r="D4006" s="199"/>
    </row>
    <row r="4007" spans="2:4" ht="14.25">
      <c r="B4007" s="6"/>
      <c r="C4007" s="7"/>
      <c r="D4007" s="5"/>
    </row>
    <row r="4008" spans="1:4" ht="15">
      <c r="A4008" s="8"/>
      <c r="B4008" s="9" t="s">
        <v>613</v>
      </c>
      <c r="C4008" s="10">
        <v>529.53</v>
      </c>
      <c r="D4008" s="5"/>
    </row>
    <row r="4009" spans="1:4" ht="12.75">
      <c r="A4009" s="8"/>
      <c r="B4009" s="94" t="s">
        <v>59</v>
      </c>
      <c r="C4009" s="12">
        <v>3.74</v>
      </c>
      <c r="D4009" s="13"/>
    </row>
    <row r="4010" spans="1:4" ht="12.75">
      <c r="A4010" s="8"/>
      <c r="B4010" s="139" t="s">
        <v>60</v>
      </c>
      <c r="C4010" s="12">
        <v>6.42</v>
      </c>
      <c r="D4010" s="13"/>
    </row>
    <row r="4011" spans="1:4" ht="36.75">
      <c r="A4011" s="8"/>
      <c r="B4011" s="140" t="s">
        <v>16</v>
      </c>
      <c r="C4011" s="16">
        <f>20221.69+34645.94+2900.7</f>
        <v>57768.33</v>
      </c>
      <c r="D4011" s="13"/>
    </row>
    <row r="4012" spans="1:4" ht="18.75">
      <c r="A4012" s="17">
        <v>1</v>
      </c>
      <c r="B4012" s="18" t="s">
        <v>617</v>
      </c>
      <c r="C4012" s="16">
        <f>C4013+C4014</f>
        <v>71468.56</v>
      </c>
      <c r="D4012" s="5"/>
    </row>
    <row r="4013" spans="1:4" ht="15">
      <c r="A4013" s="17" t="s">
        <v>706</v>
      </c>
      <c r="B4013" s="19" t="s">
        <v>707</v>
      </c>
      <c r="C4013" s="20">
        <f>23435.19+40226.85</f>
        <v>63662.03999999999</v>
      </c>
      <c r="D4013" s="5"/>
    </row>
    <row r="4014" spans="1:4" ht="15">
      <c r="A4014" s="17" t="s">
        <v>708</v>
      </c>
      <c r="B4014" s="19" t="s">
        <v>345</v>
      </c>
      <c r="C4014" s="20">
        <v>7806.52</v>
      </c>
      <c r="D4014" s="5"/>
    </row>
    <row r="4015" spans="1:4" ht="18">
      <c r="A4015" s="17">
        <v>2</v>
      </c>
      <c r="B4015" s="18" t="s">
        <v>620</v>
      </c>
      <c r="C4015" s="21">
        <f>C4016+C4017</f>
        <v>92651.7</v>
      </c>
      <c r="D4015" s="13"/>
    </row>
    <row r="4016" spans="1:4" ht="15.75">
      <c r="A4016" s="17" t="s">
        <v>621</v>
      </c>
      <c r="B4016" s="22" t="s">
        <v>712</v>
      </c>
      <c r="C4016" s="23">
        <f>31546.1+54102.29</f>
        <v>85648.39</v>
      </c>
      <c r="D4016" s="13"/>
    </row>
    <row r="4017" spans="1:4" ht="15.75">
      <c r="A4017" s="17" t="s">
        <v>623</v>
      </c>
      <c r="B4017" s="22" t="s">
        <v>364</v>
      </c>
      <c r="C4017" s="23">
        <v>7003.31</v>
      </c>
      <c r="D4017" s="5"/>
    </row>
    <row r="4018" spans="1:4" ht="36">
      <c r="A4018" s="17">
        <v>5</v>
      </c>
      <c r="B4018" s="24" t="s">
        <v>625</v>
      </c>
      <c r="C4018" s="85">
        <f>C4019+C4021</f>
        <v>37827.776</v>
      </c>
      <c r="D4018" s="13"/>
    </row>
    <row r="4019" spans="1:4" ht="18.75">
      <c r="A4019" s="86" t="s">
        <v>627</v>
      </c>
      <c r="B4019" s="87" t="s">
        <v>626</v>
      </c>
      <c r="C4019" s="27">
        <f>C4020</f>
        <v>4264</v>
      </c>
      <c r="D4019" s="13"/>
    </row>
    <row r="4020" spans="1:4" ht="15.75">
      <c r="A4020" s="17"/>
      <c r="B4020" s="87" t="s">
        <v>713</v>
      </c>
      <c r="C4020" s="88">
        <f>205*20.8</f>
        <v>4264</v>
      </c>
      <c r="D4020" s="226"/>
    </row>
    <row r="4021" spans="1:4" ht="18.75">
      <c r="A4021" s="17" t="s">
        <v>629</v>
      </c>
      <c r="B4021" s="87" t="s">
        <v>630</v>
      </c>
      <c r="C4021" s="27">
        <f>C4022+C4023+C4024+C4025+C4026+C4027</f>
        <v>33563.776</v>
      </c>
      <c r="D4021" s="13"/>
    </row>
    <row r="4022" spans="1:4" ht="25.5">
      <c r="A4022" s="30" t="s">
        <v>631</v>
      </c>
      <c r="B4022" s="31" t="s">
        <v>365</v>
      </c>
      <c r="C4022" s="32">
        <v>7950.48</v>
      </c>
      <c r="D4022" s="5"/>
    </row>
    <row r="4023" spans="1:4" ht="12.75">
      <c r="A4023" s="17" t="s">
        <v>633</v>
      </c>
      <c r="B4023" s="33" t="s">
        <v>17</v>
      </c>
      <c r="C4023" s="34">
        <v>74.76</v>
      </c>
      <c r="D4023" s="5"/>
    </row>
    <row r="4024" spans="1:4" ht="12.75">
      <c r="A4024" s="17" t="s">
        <v>637</v>
      </c>
      <c r="B4024" s="35" t="s">
        <v>18</v>
      </c>
      <c r="C4024" s="34">
        <v>4313.34</v>
      </c>
      <c r="D4024" s="5"/>
    </row>
    <row r="4025" spans="1:4" ht="12.75">
      <c r="A4025" s="30" t="s">
        <v>639</v>
      </c>
      <c r="B4025" s="33" t="s">
        <v>366</v>
      </c>
      <c r="C4025" s="34">
        <f>3.6*230*12</f>
        <v>9936</v>
      </c>
      <c r="D4025" s="5"/>
    </row>
    <row r="4026" spans="1:4" ht="12.75">
      <c r="A4026" s="30" t="s">
        <v>647</v>
      </c>
      <c r="B4026" s="33" t="s">
        <v>23</v>
      </c>
      <c r="C4026" s="34">
        <f>C4013*0.15</f>
        <v>9549.305999999999</v>
      </c>
      <c r="D4026" s="5"/>
    </row>
    <row r="4027" spans="1:4" ht="12.75">
      <c r="A4027" s="17" t="s">
        <v>717</v>
      </c>
      <c r="B4027" s="33" t="s">
        <v>24</v>
      </c>
      <c r="C4027" s="34">
        <v>1739.89</v>
      </c>
      <c r="D4027" s="13"/>
    </row>
    <row r="4028" spans="1:4" ht="12.75">
      <c r="A4028" s="17"/>
      <c r="B4028" s="39"/>
      <c r="C4028" s="34"/>
      <c r="D4028" s="13"/>
    </row>
    <row r="4029" spans="1:4" ht="30">
      <c r="A4029" s="8"/>
      <c r="B4029" s="45" t="s">
        <v>25</v>
      </c>
      <c r="C4029" s="46">
        <f>C4015-C4018</f>
        <v>54823.924</v>
      </c>
      <c r="D4029" s="49"/>
    </row>
    <row r="4030" spans="1:4" ht="15.75">
      <c r="A4030" s="8"/>
      <c r="B4030" s="45" t="s">
        <v>26</v>
      </c>
      <c r="C4030" s="46">
        <v>-34474.1</v>
      </c>
      <c r="D4030" s="5"/>
    </row>
    <row r="4031" spans="1:4" ht="15.75">
      <c r="A4031" s="8"/>
      <c r="B4031" s="45" t="s">
        <v>652</v>
      </c>
      <c r="C4031" s="46">
        <f>C4029+C4030</f>
        <v>20349.824</v>
      </c>
      <c r="D4031" s="5"/>
    </row>
    <row r="4032" spans="1:4" ht="15.75">
      <c r="A4032" s="8"/>
      <c r="B4032" s="45"/>
      <c r="C4032" s="46"/>
      <c r="D4032" s="5"/>
    </row>
    <row r="4033" spans="1:4" ht="31.5">
      <c r="A4033" s="8"/>
      <c r="B4033" s="150" t="s">
        <v>27</v>
      </c>
      <c r="C4033" s="46">
        <f>C4015-(C4011+C4012)</f>
        <v>-36585.19</v>
      </c>
      <c r="D4033" s="13"/>
    </row>
    <row r="4034" spans="1:4" ht="15.75">
      <c r="A4034" s="8"/>
      <c r="B4034" s="45" t="s">
        <v>654</v>
      </c>
      <c r="C4034" s="46">
        <v>-32881.28</v>
      </c>
      <c r="D4034" s="5"/>
    </row>
    <row r="4035" spans="1:4" ht="15.75">
      <c r="A4035" s="8"/>
      <c r="B4035" s="45" t="s">
        <v>367</v>
      </c>
      <c r="C4035" s="46">
        <v>-3703.91</v>
      </c>
      <c r="D4035" s="5"/>
    </row>
    <row r="4036" spans="1:3" ht="15.75">
      <c r="A4036" s="8"/>
      <c r="B4036" s="79"/>
      <c r="C4036" s="23"/>
    </row>
    <row r="4037" ht="52.5" customHeight="1"/>
    <row r="4038" spans="2:4" ht="15">
      <c r="B4038" s="196" t="s">
        <v>609</v>
      </c>
      <c r="C4038" s="196"/>
      <c r="D4038" s="196"/>
    </row>
    <row r="4039" spans="2:4" ht="15">
      <c r="B4039" s="197" t="s">
        <v>704</v>
      </c>
      <c r="C4039" s="197"/>
      <c r="D4039" s="1"/>
    </row>
    <row r="4040" spans="2:4" ht="18.75">
      <c r="B4040" s="198" t="s">
        <v>368</v>
      </c>
      <c r="C4040" s="198"/>
      <c r="D4040" s="198"/>
    </row>
    <row r="4041" spans="2:4" ht="15.75">
      <c r="B4041" s="199" t="s">
        <v>612</v>
      </c>
      <c r="C4041" s="199"/>
      <c r="D4041" s="199"/>
    </row>
    <row r="4042" spans="2:4" ht="14.25">
      <c r="B4042" s="6"/>
      <c r="C4042" s="7"/>
      <c r="D4042" s="5"/>
    </row>
    <row r="4043" spans="1:4" ht="15">
      <c r="A4043" s="8"/>
      <c r="B4043" s="9" t="s">
        <v>613</v>
      </c>
      <c r="C4043" s="10">
        <v>1975.7</v>
      </c>
      <c r="D4043" s="5"/>
    </row>
    <row r="4044" spans="1:4" ht="12.75">
      <c r="A4044" s="8"/>
      <c r="B4044" s="11" t="s">
        <v>614</v>
      </c>
      <c r="C4044" s="12">
        <v>5.33</v>
      </c>
      <c r="D4044" s="13"/>
    </row>
    <row r="4045" spans="1:4" ht="12.75">
      <c r="A4045" s="8"/>
      <c r="B4045" s="14" t="s">
        <v>615</v>
      </c>
      <c r="C4045" s="12">
        <v>9.16</v>
      </c>
      <c r="D4045" s="13"/>
    </row>
    <row r="4046" spans="1:4" ht="18.75">
      <c r="A4046" s="8"/>
      <c r="B4046" s="15" t="s">
        <v>616</v>
      </c>
      <c r="C4046" s="16">
        <f>49096.76+45533.61+72640.97+84301.93</f>
        <v>251573.27</v>
      </c>
      <c r="D4046" s="13"/>
    </row>
    <row r="4047" spans="1:4" ht="18.75">
      <c r="A4047" s="17">
        <v>1</v>
      </c>
      <c r="B4047" s="18" t="s">
        <v>617</v>
      </c>
      <c r="C4047" s="16">
        <f>C4048+C4049</f>
        <v>612719.37</v>
      </c>
      <c r="D4047" s="5"/>
    </row>
    <row r="4048" spans="1:4" ht="15">
      <c r="A4048" s="17" t="s">
        <v>706</v>
      </c>
      <c r="B4048" s="19" t="s">
        <v>413</v>
      </c>
      <c r="C4048" s="20">
        <f>126247.17+217268.03</f>
        <v>343515.2</v>
      </c>
      <c r="D4048" s="5"/>
    </row>
    <row r="4049" spans="1:4" ht="15">
      <c r="A4049" s="17" t="s">
        <v>708</v>
      </c>
      <c r="B4049" s="19" t="s">
        <v>709</v>
      </c>
      <c r="C4049" s="20">
        <f>95115.34+174088.83</f>
        <v>269204.17</v>
      </c>
      <c r="D4049" s="5"/>
    </row>
    <row r="4050" spans="1:4" ht="18">
      <c r="A4050" s="17">
        <v>2</v>
      </c>
      <c r="B4050" s="18" t="s">
        <v>620</v>
      </c>
      <c r="C4050" s="21">
        <f>C4051+C4052</f>
        <v>516424.41000000003</v>
      </c>
      <c r="D4050" s="13"/>
    </row>
    <row r="4051" spans="1:4" ht="15.75">
      <c r="A4051" s="17" t="s">
        <v>621</v>
      </c>
      <c r="B4051" s="234" t="s">
        <v>369</v>
      </c>
      <c r="C4051" s="23">
        <f>109552.15+188561.67</f>
        <v>298113.82</v>
      </c>
      <c r="D4051" s="13"/>
    </row>
    <row r="4052" spans="1:4" ht="15.75">
      <c r="A4052" s="17" t="s">
        <v>623</v>
      </c>
      <c r="B4052" s="102" t="s">
        <v>709</v>
      </c>
      <c r="C4052" s="23">
        <f>77489.37+140821.22</f>
        <v>218310.59</v>
      </c>
      <c r="D4052" s="5"/>
    </row>
    <row r="4053" spans="1:4" ht="36">
      <c r="A4053" s="17">
        <v>5</v>
      </c>
      <c r="B4053" s="24" t="s">
        <v>625</v>
      </c>
      <c r="C4053" s="27">
        <f>C4054+C4056</f>
        <v>448933.35</v>
      </c>
      <c r="D4053" s="13"/>
    </row>
    <row r="4054" spans="1:4" ht="18.75">
      <c r="A4054" s="86" t="s">
        <v>627</v>
      </c>
      <c r="B4054" s="87" t="s">
        <v>626</v>
      </c>
      <c r="C4054" s="27">
        <f>C4055</f>
        <v>173843.11</v>
      </c>
      <c r="D4054" s="13"/>
    </row>
    <row r="4055" spans="1:4" ht="15.75">
      <c r="A4055" s="17"/>
      <c r="B4055" s="87" t="s">
        <v>713</v>
      </c>
      <c r="C4055" s="88">
        <f>2953*58.87</f>
        <v>173843.11</v>
      </c>
      <c r="D4055" s="13"/>
    </row>
    <row r="4056" spans="1:4" ht="18.75">
      <c r="A4056" s="17" t="s">
        <v>629</v>
      </c>
      <c r="B4056" s="87" t="s">
        <v>630</v>
      </c>
      <c r="C4056" s="27">
        <f>C4057+C4058+C4059+C4060+C4061+C4062+C4063</f>
        <v>275090.24</v>
      </c>
      <c r="D4056" s="13"/>
    </row>
    <row r="4057" spans="1:4" ht="25.5">
      <c r="A4057" s="30" t="s">
        <v>631</v>
      </c>
      <c r="B4057" s="31" t="s">
        <v>632</v>
      </c>
      <c r="C4057" s="32">
        <v>65250.31</v>
      </c>
      <c r="D4057" s="5"/>
    </row>
    <row r="4058" spans="1:4" ht="12.75">
      <c r="A4058" s="17" t="s">
        <v>633</v>
      </c>
      <c r="B4058" s="33" t="s">
        <v>634</v>
      </c>
      <c r="C4058" s="34">
        <v>101.67</v>
      </c>
      <c r="D4058" s="5"/>
    </row>
    <row r="4059" spans="1:4" ht="12.75">
      <c r="A4059" s="17"/>
      <c r="B4059" s="160" t="s">
        <v>640</v>
      </c>
      <c r="C4059" s="34">
        <v>13043.25</v>
      </c>
      <c r="D4059" s="5"/>
    </row>
    <row r="4060" spans="1:4" ht="12.75">
      <c r="A4060" s="17"/>
      <c r="B4060" s="160" t="s">
        <v>746</v>
      </c>
      <c r="C4060" s="34">
        <v>40237.88</v>
      </c>
      <c r="D4060" s="5"/>
    </row>
    <row r="4061" spans="1:4" ht="12.75">
      <c r="A4061" s="30" t="s">
        <v>639</v>
      </c>
      <c r="B4061" s="33" t="s">
        <v>370</v>
      </c>
      <c r="C4061" s="34">
        <f>8*230*12</f>
        <v>22080</v>
      </c>
      <c r="D4061" s="5"/>
    </row>
    <row r="4062" spans="1:4" ht="12.75">
      <c r="A4062" s="30" t="s">
        <v>647</v>
      </c>
      <c r="B4062" s="33" t="s">
        <v>646</v>
      </c>
      <c r="C4062" s="34">
        <f>C4048*0.15</f>
        <v>51527.28</v>
      </c>
      <c r="D4062" s="5"/>
    </row>
    <row r="4063" spans="1:4" ht="12.75">
      <c r="A4063" s="17" t="s">
        <v>717</v>
      </c>
      <c r="B4063" s="33" t="s">
        <v>648</v>
      </c>
      <c r="C4063" s="192">
        <v>82849.85</v>
      </c>
      <c r="D4063" s="13"/>
    </row>
    <row r="4064" spans="1:4" ht="12.75">
      <c r="A4064" s="8"/>
      <c r="B4064" s="37"/>
      <c r="C4064" s="181"/>
      <c r="D4064" s="5"/>
    </row>
    <row r="4065" spans="1:4" ht="30">
      <c r="A4065" s="8"/>
      <c r="B4065" s="45" t="s">
        <v>607</v>
      </c>
      <c r="C4065" s="46">
        <f>C4050-C4053</f>
        <v>67491.06000000006</v>
      </c>
      <c r="D4065" s="5"/>
    </row>
    <row r="4066" spans="1:4" ht="15.75">
      <c r="A4066" s="8"/>
      <c r="B4066" s="45" t="s">
        <v>479</v>
      </c>
      <c r="C4066" s="46">
        <v>-36052.65</v>
      </c>
      <c r="D4066" s="5"/>
    </row>
    <row r="4067" spans="1:4" ht="15.75">
      <c r="A4067" s="8"/>
      <c r="B4067" s="45" t="s">
        <v>652</v>
      </c>
      <c r="C4067" s="46">
        <f>C4065+C4066</f>
        <v>31438.410000000054</v>
      </c>
      <c r="D4067" s="5"/>
    </row>
    <row r="4068" spans="1:4" ht="15.75">
      <c r="A4068" s="8"/>
      <c r="B4068" s="45"/>
      <c r="C4068" s="46"/>
      <c r="D4068" s="5"/>
    </row>
    <row r="4069" spans="1:4" ht="15.75">
      <c r="A4069" s="8"/>
      <c r="B4069" s="45" t="s">
        <v>653</v>
      </c>
      <c r="C4069" s="46">
        <f>C4050-(C4046+C4047)</f>
        <v>-347868.23</v>
      </c>
      <c r="D4069" s="13"/>
    </row>
    <row r="4070" spans="1:4" ht="15.75">
      <c r="A4070" s="8"/>
      <c r="B4070" s="45" t="s">
        <v>654</v>
      </c>
      <c r="C4070" s="46">
        <v>-178800.07</v>
      </c>
      <c r="D4070" s="5"/>
    </row>
    <row r="4071" spans="1:4" ht="15.75">
      <c r="A4071" s="8"/>
      <c r="B4071" s="45" t="s">
        <v>726</v>
      </c>
      <c r="C4071" s="46">
        <v>-169068.16</v>
      </c>
      <c r="D4071" s="5"/>
    </row>
    <row r="4072" ht="54" customHeight="1"/>
    <row r="4073" spans="2:4" ht="15">
      <c r="B4073" s="196" t="s">
        <v>609</v>
      </c>
      <c r="C4073" s="196"/>
      <c r="D4073" s="196"/>
    </row>
    <row r="4074" spans="2:4" ht="15">
      <c r="B4074" s="197" t="s">
        <v>704</v>
      </c>
      <c r="C4074" s="197"/>
      <c r="D4074" s="1"/>
    </row>
    <row r="4075" spans="2:4" ht="18.75">
      <c r="B4075" s="198" t="s">
        <v>371</v>
      </c>
      <c r="C4075" s="198"/>
      <c r="D4075" s="198"/>
    </row>
    <row r="4076" spans="2:4" ht="15.75">
      <c r="B4076" s="199" t="s">
        <v>612</v>
      </c>
      <c r="C4076" s="199"/>
      <c r="D4076" s="199"/>
    </row>
    <row r="4077" spans="2:4" ht="14.25">
      <c r="B4077" s="6"/>
      <c r="C4077" s="7"/>
      <c r="D4077" s="5"/>
    </row>
    <row r="4078" spans="1:4" ht="15">
      <c r="A4078" s="8"/>
      <c r="B4078" s="9" t="s">
        <v>613</v>
      </c>
      <c r="C4078" s="10">
        <v>967.67</v>
      </c>
      <c r="D4078" s="5"/>
    </row>
    <row r="4079" spans="1:4" ht="12.75">
      <c r="A4079" s="8"/>
      <c r="B4079" s="11" t="s">
        <v>614</v>
      </c>
      <c r="C4079" s="12">
        <v>5.33</v>
      </c>
      <c r="D4079" s="13"/>
    </row>
    <row r="4080" spans="1:4" ht="12.75">
      <c r="A4080" s="8"/>
      <c r="B4080" s="14" t="s">
        <v>615</v>
      </c>
      <c r="C4080" s="12">
        <v>9.16</v>
      </c>
      <c r="D4080" s="13"/>
    </row>
    <row r="4081" spans="1:4" ht="18.75">
      <c r="A4081" s="8"/>
      <c r="B4081" s="15" t="s">
        <v>616</v>
      </c>
      <c r="C4081" s="16">
        <v>5515.11</v>
      </c>
      <c r="D4081" s="13"/>
    </row>
    <row r="4082" spans="1:4" ht="18.75">
      <c r="A4082" s="17">
        <v>1</v>
      </c>
      <c r="B4082" s="18" t="s">
        <v>617</v>
      </c>
      <c r="C4082" s="16">
        <f>C4083+C4084</f>
        <v>239252.68</v>
      </c>
      <c r="D4082" s="5"/>
    </row>
    <row r="4083" spans="1:4" ht="15">
      <c r="A4083" s="17" t="s">
        <v>706</v>
      </c>
      <c r="B4083" s="19" t="s">
        <v>591</v>
      </c>
      <c r="C4083" s="20">
        <f>61892.15+106366.66</f>
        <v>168258.81</v>
      </c>
      <c r="D4083" s="5"/>
    </row>
    <row r="4084" spans="1:4" ht="15">
      <c r="A4084" s="17" t="s">
        <v>708</v>
      </c>
      <c r="B4084" s="19" t="s">
        <v>709</v>
      </c>
      <c r="C4084" s="20">
        <f>25083.6+45910.27</f>
        <v>70993.87</v>
      </c>
      <c r="D4084" s="5"/>
    </row>
    <row r="4085" spans="1:4" ht="18">
      <c r="A4085" s="17">
        <v>2</v>
      </c>
      <c r="B4085" s="18" t="s">
        <v>620</v>
      </c>
      <c r="C4085" s="21">
        <f>C4086+C4087</f>
        <v>210043.44</v>
      </c>
      <c r="D4085" s="13"/>
    </row>
    <row r="4086" spans="1:4" ht="15.75">
      <c r="A4086" s="17" t="s">
        <v>621</v>
      </c>
      <c r="B4086" s="157" t="s">
        <v>545</v>
      </c>
      <c r="C4086" s="23">
        <f>55142.82+94767.2</f>
        <v>149910.02</v>
      </c>
      <c r="D4086" s="13"/>
    </row>
    <row r="4087" spans="1:4" ht="15.75">
      <c r="A4087" s="17" t="s">
        <v>623</v>
      </c>
      <c r="B4087" s="157" t="s">
        <v>416</v>
      </c>
      <c r="C4087" s="23">
        <f>21251.99+38881.43</f>
        <v>60133.42</v>
      </c>
      <c r="D4087" s="5"/>
    </row>
    <row r="4088" spans="1:4" ht="18">
      <c r="A4088" s="17"/>
      <c r="B4088" s="84"/>
      <c r="C4088" s="21"/>
      <c r="D4088" s="13"/>
    </row>
    <row r="4089" spans="1:4" ht="36">
      <c r="A4089" s="17">
        <v>5</v>
      </c>
      <c r="B4089" s="24" t="s">
        <v>625</v>
      </c>
      <c r="C4089" s="85">
        <f>C4090+C4092</f>
        <v>184722.90149999998</v>
      </c>
      <c r="D4089" s="13"/>
    </row>
    <row r="4090" spans="1:4" ht="18.75">
      <c r="A4090" s="86" t="s">
        <v>627</v>
      </c>
      <c r="B4090" s="87" t="s">
        <v>626</v>
      </c>
      <c r="C4090" s="27">
        <f>C4091</f>
        <v>69289.98999999999</v>
      </c>
      <c r="D4090" s="13"/>
    </row>
    <row r="4091" spans="1:4" ht="15.75">
      <c r="A4091" s="17"/>
      <c r="B4091" s="87" t="s">
        <v>713</v>
      </c>
      <c r="C4091" s="88">
        <f>1177*58.87</f>
        <v>69289.98999999999</v>
      </c>
      <c r="D4091" s="13"/>
    </row>
    <row r="4092" spans="1:4" ht="18.75">
      <c r="A4092" s="17" t="s">
        <v>629</v>
      </c>
      <c r="B4092" s="87" t="s">
        <v>630</v>
      </c>
      <c r="C4092" s="27">
        <f>C4093+C4094+C4095+C4096+C4097+C4098+C4099</f>
        <v>115432.9115</v>
      </c>
      <c r="D4092" s="13"/>
    </row>
    <row r="4093" spans="1:4" ht="25.5">
      <c r="A4093" s="30" t="s">
        <v>631</v>
      </c>
      <c r="B4093" s="31" t="s">
        <v>632</v>
      </c>
      <c r="C4093" s="34">
        <v>32566.34</v>
      </c>
      <c r="D4093" s="5"/>
    </row>
    <row r="4094" spans="1:4" ht="12.75">
      <c r="A4094" s="17" t="s">
        <v>633</v>
      </c>
      <c r="B4094" s="33" t="s">
        <v>634</v>
      </c>
      <c r="C4094" s="34">
        <v>15.29</v>
      </c>
      <c r="D4094" s="5"/>
    </row>
    <row r="4095" spans="1:4" ht="12.75">
      <c r="A4095" s="17" t="s">
        <v>635</v>
      </c>
      <c r="B4095" s="35" t="s">
        <v>746</v>
      </c>
      <c r="C4095" s="34">
        <v>40551.91</v>
      </c>
      <c r="D4095" s="5"/>
    </row>
    <row r="4096" spans="1:4" ht="12.75">
      <c r="A4096" s="17" t="s">
        <v>637</v>
      </c>
      <c r="B4096" s="35" t="s">
        <v>640</v>
      </c>
      <c r="C4096" s="34">
        <v>7733.88</v>
      </c>
      <c r="D4096" s="5"/>
    </row>
    <row r="4097" spans="1:4" ht="12.75">
      <c r="A4097" s="30" t="s">
        <v>639</v>
      </c>
      <c r="B4097" s="33" t="s">
        <v>372</v>
      </c>
      <c r="C4097" s="34">
        <f>2.8*230*12</f>
        <v>7728</v>
      </c>
      <c r="D4097" s="5"/>
    </row>
    <row r="4098" spans="1:4" ht="12.75">
      <c r="A4098" s="30" t="s">
        <v>647</v>
      </c>
      <c r="B4098" s="33" t="s">
        <v>646</v>
      </c>
      <c r="C4098" s="91">
        <f>C4083*0.15</f>
        <v>25238.8215</v>
      </c>
      <c r="D4098" s="5"/>
    </row>
    <row r="4099" spans="1:4" ht="12.75">
      <c r="A4099" s="17" t="s">
        <v>717</v>
      </c>
      <c r="B4099" s="33" t="s">
        <v>648</v>
      </c>
      <c r="C4099" s="34">
        <v>1598.67</v>
      </c>
      <c r="D4099" s="13"/>
    </row>
    <row r="4100" spans="1:4" ht="30">
      <c r="A4100" s="8"/>
      <c r="B4100" s="45" t="s">
        <v>373</v>
      </c>
      <c r="C4100" s="46">
        <f>C4085-C4089</f>
        <v>25320.538500000024</v>
      </c>
      <c r="D4100" s="5"/>
    </row>
    <row r="4101" spans="1:4" ht="15.75">
      <c r="A4101" s="8"/>
      <c r="B4101" s="45" t="s">
        <v>651</v>
      </c>
      <c r="C4101" s="46">
        <v>29010.76</v>
      </c>
      <c r="D4101" s="5"/>
    </row>
    <row r="4102" spans="1:4" ht="15.75">
      <c r="A4102" s="8"/>
      <c r="B4102" s="45" t="s">
        <v>652</v>
      </c>
      <c r="C4102" s="46">
        <f>C4100+C4101</f>
        <v>54331.29850000002</v>
      </c>
      <c r="D4102" s="5"/>
    </row>
    <row r="4103" spans="1:4" ht="15.75">
      <c r="A4103" s="8"/>
      <c r="B4103" s="45"/>
      <c r="C4103" s="46"/>
      <c r="D4103" s="5"/>
    </row>
    <row r="4104" spans="1:4" ht="15.75">
      <c r="A4104" s="8"/>
      <c r="B4104" s="45" t="s">
        <v>653</v>
      </c>
      <c r="C4104" s="46">
        <f>C4085-(C4081+C4082)</f>
        <v>-34724.34999999998</v>
      </c>
      <c r="D4104" s="13"/>
    </row>
    <row r="4105" spans="1:4" ht="15.75">
      <c r="A4105" s="8"/>
      <c r="B4105" s="45" t="s">
        <v>654</v>
      </c>
      <c r="C4105" s="46">
        <v>-24443.68</v>
      </c>
      <c r="D4105" s="5"/>
    </row>
    <row r="4106" spans="1:4" ht="15.75">
      <c r="A4106" s="8"/>
      <c r="B4106" s="45" t="s">
        <v>726</v>
      </c>
      <c r="C4106" s="46">
        <v>-10280.67</v>
      </c>
      <c r="D4106" s="5"/>
    </row>
    <row r="4107" spans="1:4" ht="15.75">
      <c r="A4107" s="43"/>
      <c r="B4107" s="83" t="s">
        <v>374</v>
      </c>
      <c r="C4107" s="23">
        <v>-7986</v>
      </c>
      <c r="D4107" s="5"/>
    </row>
    <row r="4108" spans="1:3" ht="15.75">
      <c r="A4108" s="43"/>
      <c r="B4108" s="110"/>
      <c r="C4108" s="190"/>
    </row>
    <row r="4109" spans="1:2" ht="12.75">
      <c r="A4109" s="43"/>
      <c r="B4109" t="s">
        <v>755</v>
      </c>
    </row>
    <row r="4110" ht="12.75">
      <c r="B4110" t="s">
        <v>769</v>
      </c>
    </row>
    <row r="4111" spans="2:3" ht="12.75">
      <c r="B4111" t="s">
        <v>375</v>
      </c>
      <c r="C4111" s="112">
        <f>1177*58.87</f>
        <v>69289.98999999999</v>
      </c>
    </row>
    <row r="4112" spans="2:3" ht="12.75">
      <c r="B4112" t="s">
        <v>376</v>
      </c>
      <c r="C4112" s="113">
        <f>1188*58.87</f>
        <v>69937.56</v>
      </c>
    </row>
    <row r="4113" spans="2:3" ht="15">
      <c r="B4113" s="114" t="s">
        <v>377</v>
      </c>
      <c r="C4113" s="115">
        <f>C4111-C4112</f>
        <v>-647.570000000007</v>
      </c>
    </row>
    <row r="4114" ht="53.25" customHeight="1"/>
    <row r="4115" spans="2:4" ht="15">
      <c r="B4115" s="196" t="s">
        <v>609</v>
      </c>
      <c r="C4115" s="196"/>
      <c r="D4115" s="196"/>
    </row>
    <row r="4116" spans="2:4" ht="15">
      <c r="B4116" s="197" t="s">
        <v>610</v>
      </c>
      <c r="C4116" s="197"/>
      <c r="D4116" s="1"/>
    </row>
    <row r="4117" spans="2:4" ht="18.75">
      <c r="B4117" s="198" t="s">
        <v>378</v>
      </c>
      <c r="C4117" s="198"/>
      <c r="D4117" s="198"/>
    </row>
    <row r="4118" spans="2:4" ht="15.75">
      <c r="B4118" s="199" t="s">
        <v>612</v>
      </c>
      <c r="C4118" s="199"/>
      <c r="D4118" s="199"/>
    </row>
    <row r="4119" spans="2:4" ht="12.75">
      <c r="B4119" s="3"/>
      <c r="C4119" s="4"/>
      <c r="D4119" s="5"/>
    </row>
    <row r="4120" spans="2:4" ht="14.25">
      <c r="B4120" s="6"/>
      <c r="C4120" s="7"/>
      <c r="D4120" s="5"/>
    </row>
    <row r="4121" spans="1:4" ht="15.75">
      <c r="A4121" s="8"/>
      <c r="B4121" s="51" t="s">
        <v>613</v>
      </c>
      <c r="C4121" s="52">
        <v>333.8</v>
      </c>
      <c r="D4121" s="5"/>
    </row>
    <row r="4122" spans="1:4" ht="15">
      <c r="A4122" s="8"/>
      <c r="B4122" s="53" t="s">
        <v>667</v>
      </c>
      <c r="C4122" s="54">
        <v>3.2</v>
      </c>
      <c r="D4122" s="13"/>
    </row>
    <row r="4123" spans="1:4" ht="15">
      <c r="A4123" s="8"/>
      <c r="B4123" s="55" t="s">
        <v>615</v>
      </c>
      <c r="C4123" s="56">
        <v>5.49</v>
      </c>
      <c r="D4123" s="13"/>
    </row>
    <row r="4124" spans="1:4" ht="18.75">
      <c r="A4124" s="8"/>
      <c r="B4124" s="15" t="s">
        <v>616</v>
      </c>
      <c r="C4124" s="57">
        <f>580+993.7+653.4</f>
        <v>2227.1</v>
      </c>
      <c r="D4124" s="13"/>
    </row>
    <row r="4125" spans="1:4" ht="18">
      <c r="A4125" s="17">
        <v>1</v>
      </c>
      <c r="B4125" s="18" t="s">
        <v>668</v>
      </c>
      <c r="C4125" s="21">
        <f>12817.92+21990.84</f>
        <v>34808.76</v>
      </c>
      <c r="D4125" s="5"/>
    </row>
    <row r="4126" spans="1:4" ht="18">
      <c r="A4126" s="17">
        <v>2</v>
      </c>
      <c r="B4126" s="58" t="s">
        <v>669</v>
      </c>
      <c r="C4126" s="59">
        <f>(C4124+C4125)-C4129</f>
        <v>35591.72</v>
      </c>
      <c r="D4126" s="5"/>
    </row>
    <row r="4127" spans="1:4" ht="15.75">
      <c r="A4127" s="17"/>
      <c r="B4127" s="98" t="s">
        <v>379</v>
      </c>
      <c r="C4127" s="99">
        <v>2728</v>
      </c>
      <c r="D4127" s="5"/>
    </row>
    <row r="4128" spans="1:4" ht="15">
      <c r="A4128" s="17">
        <v>3</v>
      </c>
      <c r="B4128" s="19" t="s">
        <v>670</v>
      </c>
      <c r="C4128" s="20"/>
      <c r="D4128" s="5"/>
    </row>
    <row r="4129" spans="1:4" ht="15">
      <c r="A4129" s="17"/>
      <c r="B4129" s="60" t="s">
        <v>671</v>
      </c>
      <c r="C4129" s="20">
        <f>531.78+912.36</f>
        <v>1444.1399999999999</v>
      </c>
      <c r="D4129" s="5"/>
    </row>
    <row r="4130" spans="1:4" ht="15">
      <c r="A4130" s="61"/>
      <c r="B4130" s="62"/>
      <c r="C4130" s="63"/>
      <c r="D4130" s="5"/>
    </row>
    <row r="4131" spans="1:4" ht="15">
      <c r="A4131" s="61"/>
      <c r="B4131" s="62" t="s">
        <v>503</v>
      </c>
      <c r="C4131" s="63">
        <v>30000</v>
      </c>
      <c r="D4131" s="5"/>
    </row>
    <row r="4132" spans="1:4" ht="15">
      <c r="A4132" s="61"/>
      <c r="B4132" s="62"/>
      <c r="C4132" s="63"/>
      <c r="D4132" s="5"/>
    </row>
    <row r="4133" spans="1:4" ht="31.5">
      <c r="A4133" s="17">
        <v>4</v>
      </c>
      <c r="B4133" s="64" t="s">
        <v>625</v>
      </c>
      <c r="C4133" s="27">
        <f>C4134+C4135+C4136+C4137+C4138+C4139+C4140</f>
        <v>32673.704</v>
      </c>
      <c r="D4133" s="5"/>
    </row>
    <row r="4134" spans="1:4" ht="26.25">
      <c r="A4134" s="30" t="s">
        <v>672</v>
      </c>
      <c r="B4134" s="31" t="s">
        <v>632</v>
      </c>
      <c r="C4134" s="66">
        <v>2700.57</v>
      </c>
      <c r="D4134" s="5"/>
    </row>
    <row r="4135" spans="1:4" ht="15.75">
      <c r="A4135" s="17" t="s">
        <v>697</v>
      </c>
      <c r="B4135" s="79" t="s">
        <v>380</v>
      </c>
      <c r="C4135" s="23">
        <v>1913.94</v>
      </c>
      <c r="D4135" s="5"/>
    </row>
    <row r="4136" spans="1:4" ht="15.75">
      <c r="A4136" s="17" t="s">
        <v>673</v>
      </c>
      <c r="B4136" s="79" t="s">
        <v>699</v>
      </c>
      <c r="C4136" s="23">
        <v>15.58</v>
      </c>
      <c r="D4136" s="5"/>
    </row>
    <row r="4137" spans="1:4" ht="39">
      <c r="A4137" s="17"/>
      <c r="B4137" s="108" t="s">
        <v>381</v>
      </c>
      <c r="C4137" s="23">
        <f>1600+1926</f>
        <v>3526</v>
      </c>
      <c r="D4137" s="5"/>
    </row>
    <row r="4138" spans="1:4" ht="15.75">
      <c r="A4138" s="17" t="s">
        <v>676</v>
      </c>
      <c r="B4138" s="81" t="s">
        <v>471</v>
      </c>
      <c r="C4138" s="69">
        <f>1.9*230*12</f>
        <v>5244</v>
      </c>
      <c r="D4138" s="5"/>
    </row>
    <row r="4139" spans="1:4" ht="15.75">
      <c r="A4139" s="17"/>
      <c r="B4139" s="82" t="s">
        <v>703</v>
      </c>
      <c r="C4139" s="71">
        <f>C4125*0.15</f>
        <v>5221.314</v>
      </c>
      <c r="D4139" s="5"/>
    </row>
    <row r="4140" spans="1:4" ht="15.75">
      <c r="A4140" s="8">
        <v>5</v>
      </c>
      <c r="B4140" s="79" t="s">
        <v>702</v>
      </c>
      <c r="C4140" s="23">
        <v>14052.3</v>
      </c>
      <c r="D4140" s="5"/>
    </row>
    <row r="4141" spans="1:4" ht="15.75">
      <c r="A4141" s="8"/>
      <c r="B4141" s="83"/>
      <c r="C4141" s="23"/>
      <c r="D4141" s="5"/>
    </row>
    <row r="4142" spans="1:3" ht="18">
      <c r="A4142" s="8"/>
      <c r="B4142" s="73" t="s">
        <v>683</v>
      </c>
      <c r="C4142" s="59">
        <v>-18343.39</v>
      </c>
    </row>
    <row r="4143" spans="1:3" ht="18">
      <c r="A4143" s="8"/>
      <c r="B4143" s="73" t="s">
        <v>684</v>
      </c>
      <c r="C4143" s="59">
        <f>(C4126+C4127)-C4133+C4131</f>
        <v>35646.016</v>
      </c>
    </row>
    <row r="4144" spans="1:3" ht="18.75">
      <c r="A4144" s="8"/>
      <c r="B4144" s="76" t="s">
        <v>652</v>
      </c>
      <c r="C4144" s="59">
        <f>SUM(C4142:C4143)</f>
        <v>17302.626000000004</v>
      </c>
    </row>
    <row r="4145" ht="54.75" customHeight="1"/>
    <row r="4146" spans="2:4" ht="15">
      <c r="B4146" s="196" t="s">
        <v>609</v>
      </c>
      <c r="C4146" s="196"/>
      <c r="D4146" s="196"/>
    </row>
    <row r="4147" spans="2:4" ht="15">
      <c r="B4147" s="197" t="s">
        <v>610</v>
      </c>
      <c r="C4147" s="197"/>
      <c r="D4147" s="1"/>
    </row>
    <row r="4148" spans="2:4" ht="18.75">
      <c r="B4148" s="198" t="s">
        <v>382</v>
      </c>
      <c r="C4148" s="198"/>
      <c r="D4148" s="198"/>
    </row>
    <row r="4149" spans="2:4" ht="15.75">
      <c r="B4149" s="199" t="s">
        <v>612</v>
      </c>
      <c r="C4149" s="199"/>
      <c r="D4149" s="199"/>
    </row>
    <row r="4150" spans="2:4" ht="12.75">
      <c r="B4150" s="3"/>
      <c r="C4150" s="4"/>
      <c r="D4150" s="5"/>
    </row>
    <row r="4151" spans="2:4" ht="14.25">
      <c r="B4151" s="6"/>
      <c r="C4151" s="7"/>
      <c r="D4151" s="5"/>
    </row>
    <row r="4152" spans="1:4" ht="15.75">
      <c r="A4152" s="8"/>
      <c r="B4152" s="51" t="s">
        <v>613</v>
      </c>
      <c r="C4152" s="52">
        <v>310.24</v>
      </c>
      <c r="D4152" s="5"/>
    </row>
    <row r="4153" spans="1:4" ht="15">
      <c r="A4153" s="8"/>
      <c r="B4153" s="53" t="s">
        <v>667</v>
      </c>
      <c r="C4153" s="54">
        <v>3.2</v>
      </c>
      <c r="D4153" s="13"/>
    </row>
    <row r="4154" spans="1:4" ht="15">
      <c r="A4154" s="8"/>
      <c r="B4154" s="55" t="s">
        <v>615</v>
      </c>
      <c r="C4154" s="56">
        <v>5.49</v>
      </c>
      <c r="D4154" s="13"/>
    </row>
    <row r="4155" spans="1:4" ht="18.75">
      <c r="A4155" s="8"/>
      <c r="B4155" s="15" t="s">
        <v>616</v>
      </c>
      <c r="C4155" s="57">
        <f>1623.34+2781.28</f>
        <v>4404.62</v>
      </c>
      <c r="D4155" s="13"/>
    </row>
    <row r="4156" spans="1:4" ht="18">
      <c r="A4156" s="17">
        <v>1</v>
      </c>
      <c r="B4156" s="18" t="s">
        <v>668</v>
      </c>
      <c r="C4156" s="21">
        <f>11913.24+20438.64</f>
        <v>32351.879999999997</v>
      </c>
      <c r="D4156" s="5"/>
    </row>
    <row r="4157" spans="1:4" ht="18">
      <c r="A4157" s="17">
        <v>2</v>
      </c>
      <c r="B4157" s="58" t="s">
        <v>669</v>
      </c>
      <c r="C4157" s="59">
        <f>(C4155+C4156)-C4159</f>
        <v>29901.52</v>
      </c>
      <c r="D4157" s="5"/>
    </row>
    <row r="4158" spans="1:4" ht="15">
      <c r="A4158" s="17">
        <v>3</v>
      </c>
      <c r="B4158" s="19" t="s">
        <v>670</v>
      </c>
      <c r="C4158" s="20"/>
      <c r="D4158" s="5"/>
    </row>
    <row r="4159" spans="1:4" ht="18.75">
      <c r="A4159" s="17"/>
      <c r="B4159" s="60" t="s">
        <v>671</v>
      </c>
      <c r="C4159" s="16">
        <f>2524.61+4330.37</f>
        <v>6854.98</v>
      </c>
      <c r="D4159" s="5"/>
    </row>
    <row r="4160" spans="1:4" ht="15">
      <c r="A4160" s="61"/>
      <c r="B4160" s="62"/>
      <c r="C4160" s="63"/>
      <c r="D4160" s="5"/>
    </row>
    <row r="4161" spans="1:4" ht="15">
      <c r="A4161" s="61"/>
      <c r="B4161" s="62"/>
      <c r="C4161" s="63"/>
      <c r="D4161" s="5"/>
    </row>
    <row r="4162" spans="1:4" ht="31.5">
      <c r="A4162" s="17">
        <v>4</v>
      </c>
      <c r="B4162" s="64" t="s">
        <v>625</v>
      </c>
      <c r="C4162" s="27">
        <f>C4163+C4164+C4165+C4166+C4167</f>
        <v>17305.422</v>
      </c>
      <c r="D4162" s="5"/>
    </row>
    <row r="4163" spans="1:4" ht="26.25">
      <c r="A4163" s="30" t="s">
        <v>672</v>
      </c>
      <c r="B4163" s="31" t="s">
        <v>632</v>
      </c>
      <c r="C4163" s="66">
        <v>1258.6</v>
      </c>
      <c r="D4163" s="5"/>
    </row>
    <row r="4164" spans="1:4" ht="15.75">
      <c r="A4164" s="17" t="s">
        <v>673</v>
      </c>
      <c r="B4164" s="79" t="s">
        <v>699</v>
      </c>
      <c r="C4164" s="23">
        <v>22.51</v>
      </c>
      <c r="D4164" s="5"/>
    </row>
    <row r="4165" spans="1:4" ht="15.75">
      <c r="A4165" s="17" t="s">
        <v>676</v>
      </c>
      <c r="B4165" s="81" t="s">
        <v>469</v>
      </c>
      <c r="C4165" s="69">
        <f>2*230*12</f>
        <v>5520</v>
      </c>
      <c r="D4165" s="5"/>
    </row>
    <row r="4166" spans="1:4" ht="15.75">
      <c r="A4166" s="17" t="s">
        <v>31</v>
      </c>
      <c r="B4166" s="82" t="s">
        <v>703</v>
      </c>
      <c r="C4166" s="71">
        <f>C4156*0.15</f>
        <v>4852.781999999999</v>
      </c>
      <c r="D4166" s="5"/>
    </row>
    <row r="4167" spans="1:4" ht="15.75">
      <c r="A4167" s="8">
        <v>5</v>
      </c>
      <c r="B4167" s="79" t="s">
        <v>702</v>
      </c>
      <c r="C4167" s="23">
        <v>5651.53</v>
      </c>
      <c r="D4167" s="5"/>
    </row>
    <row r="4168" spans="1:4" ht="12.75">
      <c r="A4168" s="8"/>
      <c r="B4168" s="47"/>
      <c r="C4168" s="167"/>
      <c r="D4168" s="5"/>
    </row>
    <row r="4169" spans="1:3" ht="18">
      <c r="A4169" s="8"/>
      <c r="B4169" s="73" t="s">
        <v>683</v>
      </c>
      <c r="C4169" s="59">
        <v>4257.48</v>
      </c>
    </row>
    <row r="4170" spans="1:4" ht="18">
      <c r="A4170" s="8"/>
      <c r="B4170" s="73" t="s">
        <v>222</v>
      </c>
      <c r="C4170" s="59">
        <f>C4157-C4162</f>
        <v>12596.098000000002</v>
      </c>
      <c r="D4170" s="75"/>
    </row>
    <row r="4171" spans="1:3" ht="18.75">
      <c r="A4171" s="8"/>
      <c r="B4171" s="76" t="s">
        <v>652</v>
      </c>
      <c r="C4171" s="59">
        <f>SUM(C4169:C4170)</f>
        <v>16853.578</v>
      </c>
    </row>
    <row r="4172" ht="52.5" customHeight="1"/>
    <row r="4173" spans="2:4" ht="15">
      <c r="B4173" s="196" t="s">
        <v>609</v>
      </c>
      <c r="C4173" s="196"/>
      <c r="D4173" s="196"/>
    </row>
    <row r="4174" spans="2:4" ht="15">
      <c r="B4174" s="197" t="s">
        <v>704</v>
      </c>
      <c r="C4174" s="197"/>
      <c r="D4174" s="1"/>
    </row>
    <row r="4175" spans="2:4" ht="18.75">
      <c r="B4175" s="198" t="s">
        <v>383</v>
      </c>
      <c r="C4175" s="198"/>
      <c r="D4175" s="198"/>
    </row>
    <row r="4176" spans="2:4" ht="15.75">
      <c r="B4176" s="199" t="s">
        <v>612</v>
      </c>
      <c r="C4176" s="199"/>
      <c r="D4176" s="199"/>
    </row>
    <row r="4177" spans="2:4" ht="14.25">
      <c r="B4177" s="6"/>
      <c r="C4177" s="7"/>
      <c r="D4177" s="5"/>
    </row>
    <row r="4178" spans="1:4" ht="15">
      <c r="A4178" s="8"/>
      <c r="B4178" s="9" t="s">
        <v>613</v>
      </c>
      <c r="C4178" s="10">
        <v>5930.4</v>
      </c>
      <c r="D4178" s="5"/>
    </row>
    <row r="4179" spans="1:4" ht="12.75">
      <c r="A4179" s="8"/>
      <c r="B4179" s="11" t="s">
        <v>614</v>
      </c>
      <c r="C4179" s="12">
        <v>4.39</v>
      </c>
      <c r="D4179" s="13"/>
    </row>
    <row r="4180" spans="1:4" ht="12.75">
      <c r="A4180" s="8"/>
      <c r="B4180" s="14" t="s">
        <v>615</v>
      </c>
      <c r="C4180" s="12">
        <v>7.92</v>
      </c>
      <c r="D4180" s="13"/>
    </row>
    <row r="4181" spans="1:4" ht="18.75">
      <c r="A4181" s="8"/>
      <c r="B4181" s="15" t="s">
        <v>616</v>
      </c>
      <c r="C4181" s="16">
        <f>436935.98-8269.82-11958.16</f>
        <v>416708</v>
      </c>
      <c r="D4181" s="13"/>
    </row>
    <row r="4182" spans="1:4" ht="18.75">
      <c r="A4182" s="17">
        <v>1</v>
      </c>
      <c r="B4182" s="18" t="s">
        <v>617</v>
      </c>
      <c r="C4182" s="16">
        <f>C4183+C4184+C4185+C4186</f>
        <v>2973220.4699999997</v>
      </c>
      <c r="D4182" s="5"/>
    </row>
    <row r="4183" spans="1:4" ht="15">
      <c r="A4183" s="17"/>
      <c r="B4183" s="19" t="s">
        <v>618</v>
      </c>
      <c r="C4183" s="20">
        <f>312407.35+563604.94</f>
        <v>876012.2899999999</v>
      </c>
      <c r="D4183" s="5"/>
    </row>
    <row r="4184" spans="1:4" ht="15">
      <c r="A4184" s="17"/>
      <c r="B4184" s="19" t="s">
        <v>709</v>
      </c>
      <c r="C4184" s="20">
        <f>181570+332345.27</f>
        <v>513915.27</v>
      </c>
      <c r="D4184" s="5"/>
    </row>
    <row r="4185" spans="1:4" ht="15">
      <c r="A4185" s="17"/>
      <c r="B4185" s="26" t="s">
        <v>384</v>
      </c>
      <c r="C4185" s="20">
        <f>1320206.42</f>
        <v>1320206.42</v>
      </c>
      <c r="D4185" s="5"/>
    </row>
    <row r="4186" spans="1:4" ht="15">
      <c r="A4186" s="17"/>
      <c r="B4186" s="26" t="s">
        <v>385</v>
      </c>
      <c r="C4186" s="20">
        <v>263086.49</v>
      </c>
      <c r="D4186" s="5"/>
    </row>
    <row r="4187" spans="1:4" ht="18">
      <c r="A4187" s="17">
        <v>2</v>
      </c>
      <c r="B4187" s="18" t="s">
        <v>620</v>
      </c>
      <c r="C4187" s="21">
        <f>C4188+C4189+C4190+C4191</f>
        <v>2728954.63</v>
      </c>
      <c r="D4187" s="13"/>
    </row>
    <row r="4188" spans="1:4" ht="15.75">
      <c r="A4188" s="17"/>
      <c r="B4188" s="102" t="s">
        <v>743</v>
      </c>
      <c r="C4188" s="23">
        <f>297629.7+534638.83</f>
        <v>832268.53</v>
      </c>
      <c r="D4188" s="13"/>
    </row>
    <row r="4189" spans="1:4" ht="15.75">
      <c r="A4189" s="17"/>
      <c r="B4189" s="102" t="s">
        <v>744</v>
      </c>
      <c r="C4189" s="23">
        <f>161571.12+296636.08</f>
        <v>458207.2</v>
      </c>
      <c r="D4189" s="5"/>
    </row>
    <row r="4190" spans="1:4" ht="15.75">
      <c r="A4190" s="17"/>
      <c r="B4190" s="87" t="s">
        <v>386</v>
      </c>
      <c r="C4190" s="23">
        <f>1198741</f>
        <v>1198741</v>
      </c>
      <c r="D4190" s="13"/>
    </row>
    <row r="4191" spans="1:4" ht="15.75">
      <c r="A4191" s="17"/>
      <c r="B4191" s="87" t="s">
        <v>387</v>
      </c>
      <c r="C4191" s="23">
        <v>239737.9</v>
      </c>
      <c r="D4191" s="13"/>
    </row>
    <row r="4192" spans="1:4" ht="36">
      <c r="A4192" s="17">
        <v>5</v>
      </c>
      <c r="B4192" s="24" t="s">
        <v>625</v>
      </c>
      <c r="C4192" s="25">
        <f>C4193+C4197</f>
        <v>3112334.5435</v>
      </c>
      <c r="D4192" s="13"/>
    </row>
    <row r="4193" spans="1:4" ht="18.75">
      <c r="A4193" s="17"/>
      <c r="B4193" s="26" t="s">
        <v>626</v>
      </c>
      <c r="C4193" s="27">
        <f>C4194+C4195+C4196</f>
        <v>2102920.04</v>
      </c>
      <c r="D4193" s="13"/>
    </row>
    <row r="4194" spans="1:4" ht="15">
      <c r="A4194" s="17" t="s">
        <v>627</v>
      </c>
      <c r="B4194" s="28" t="s">
        <v>628</v>
      </c>
      <c r="C4194" s="29">
        <v>541376.97</v>
      </c>
      <c r="D4194" s="13"/>
    </row>
    <row r="4195" spans="1:4" ht="15">
      <c r="A4195" s="17"/>
      <c r="B4195" s="28" t="s">
        <v>388</v>
      </c>
      <c r="C4195" s="103">
        <f>1320206.42</f>
        <v>1320206.42</v>
      </c>
      <c r="D4195" s="13"/>
    </row>
    <row r="4196" spans="1:4" ht="15">
      <c r="A4196" s="17"/>
      <c r="B4196" s="28" t="s">
        <v>389</v>
      </c>
      <c r="C4196" s="103">
        <v>241336.65</v>
      </c>
      <c r="D4196" s="13"/>
    </row>
    <row r="4197" spans="1:4" ht="18.75">
      <c r="A4197" s="17"/>
      <c r="B4197" s="26" t="s">
        <v>630</v>
      </c>
      <c r="C4197" s="27">
        <f>C4198+C4199+C4200+C4201+C4202+C4203+C4204+C4205+C4206+C4207</f>
        <v>1009414.5035000001</v>
      </c>
      <c r="D4197" s="13"/>
    </row>
    <row r="4198" spans="1:4" ht="25.5">
      <c r="A4198" s="30" t="s">
        <v>631</v>
      </c>
      <c r="B4198" s="31" t="s">
        <v>632</v>
      </c>
      <c r="C4198" s="32">
        <v>147009.51</v>
      </c>
      <c r="D4198" s="5"/>
    </row>
    <row r="4199" spans="1:4" ht="12.75">
      <c r="A4199" s="17" t="s">
        <v>633</v>
      </c>
      <c r="B4199" s="33" t="s">
        <v>634</v>
      </c>
      <c r="C4199" s="34">
        <v>465.19</v>
      </c>
      <c r="D4199" s="5"/>
    </row>
    <row r="4200" spans="1:4" ht="12.75">
      <c r="A4200" s="17" t="s">
        <v>635</v>
      </c>
      <c r="B4200" s="35" t="s">
        <v>746</v>
      </c>
      <c r="C4200" s="34">
        <v>139191.2</v>
      </c>
      <c r="D4200" s="5"/>
    </row>
    <row r="4201" spans="1:4" ht="12.75">
      <c r="A4201" s="17" t="s">
        <v>637</v>
      </c>
      <c r="B4201" s="35" t="s">
        <v>640</v>
      </c>
      <c r="C4201" s="34">
        <v>47887.56</v>
      </c>
      <c r="D4201" s="5"/>
    </row>
    <row r="4202" spans="1:4" ht="12.75">
      <c r="A4202" s="30" t="s">
        <v>639</v>
      </c>
      <c r="B4202" s="33" t="s">
        <v>390</v>
      </c>
      <c r="C4202" s="34">
        <v>71208</v>
      </c>
      <c r="D4202" s="5"/>
    </row>
    <row r="4203" spans="1:4" ht="12.75">
      <c r="A4203" s="30"/>
      <c r="B4203" s="108" t="s">
        <v>391</v>
      </c>
      <c r="C4203" s="34">
        <v>960</v>
      </c>
      <c r="D4203" s="5"/>
    </row>
    <row r="4204" spans="1:4" ht="38.25">
      <c r="A4204" s="30"/>
      <c r="B4204" s="109" t="s">
        <v>752</v>
      </c>
      <c r="C4204" s="34">
        <v>16390.6</v>
      </c>
      <c r="D4204" s="5"/>
    </row>
    <row r="4205" spans="1:4" ht="12.75">
      <c r="A4205" s="30" t="s">
        <v>641</v>
      </c>
      <c r="B4205" s="33" t="s">
        <v>646</v>
      </c>
      <c r="C4205" s="34">
        <f>C4183*0.15</f>
        <v>131401.8435</v>
      </c>
      <c r="D4205" s="5"/>
    </row>
    <row r="4206" spans="1:4" ht="24">
      <c r="A4206" s="30" t="s">
        <v>643</v>
      </c>
      <c r="B4206" s="37" t="s">
        <v>392</v>
      </c>
      <c r="C4206" s="91">
        <f>3450*1.262*12</f>
        <v>52246.799999999996</v>
      </c>
      <c r="D4206" s="5"/>
    </row>
    <row r="4207" spans="1:4" ht="15.75">
      <c r="A4207" s="17" t="s">
        <v>645</v>
      </c>
      <c r="B4207" s="102" t="s">
        <v>648</v>
      </c>
      <c r="C4207" s="103">
        <v>402653.8</v>
      </c>
      <c r="D4207" s="13"/>
    </row>
    <row r="4208" spans="1:4" ht="30">
      <c r="A4208" s="8"/>
      <c r="B4208" s="45" t="s">
        <v>664</v>
      </c>
      <c r="C4208" s="46">
        <f>C4187-C4192</f>
        <v>-383379.91350000026</v>
      </c>
      <c r="D4208" s="5"/>
    </row>
    <row r="4209" spans="1:4" ht="15.75">
      <c r="A4209" s="8"/>
      <c r="B4209" s="45"/>
      <c r="C4209" s="46"/>
      <c r="D4209" s="5"/>
    </row>
    <row r="4210" spans="1:4" ht="15.75">
      <c r="A4210" s="8"/>
      <c r="B4210" s="45" t="s">
        <v>653</v>
      </c>
      <c r="C4210" s="46">
        <f>C4187-(C4181+C4182)</f>
        <v>-660973.8399999999</v>
      </c>
      <c r="D4210" s="13"/>
    </row>
    <row r="4211" spans="1:4" ht="15.75">
      <c r="A4211" s="8"/>
      <c r="B4211" s="45" t="s">
        <v>654</v>
      </c>
      <c r="C4211" s="46">
        <v>-132229.41</v>
      </c>
      <c r="D4211" s="5"/>
    </row>
    <row r="4212" spans="1:4" ht="15.75">
      <c r="A4212" s="8"/>
      <c r="B4212" s="45" t="s">
        <v>726</v>
      </c>
      <c r="C4212" s="46">
        <v>-124103.28</v>
      </c>
      <c r="D4212" s="5"/>
    </row>
    <row r="4213" spans="1:3" ht="15.75">
      <c r="A4213" s="8"/>
      <c r="B4213" s="98" t="s">
        <v>754</v>
      </c>
      <c r="C4213" s="99">
        <v>-344718.38</v>
      </c>
    </row>
    <row r="4214" spans="1:3" ht="15.75">
      <c r="A4214" s="8"/>
      <c r="B4214" s="98" t="s">
        <v>393</v>
      </c>
      <c r="C4214" s="23">
        <v>-59922.77</v>
      </c>
    </row>
    <row r="4215" spans="1:3" ht="15.75">
      <c r="A4215" s="43"/>
      <c r="B4215" s="235"/>
      <c r="C4215" s="111"/>
    </row>
    <row r="4216" spans="1:2" ht="12.75">
      <c r="A4216" s="43"/>
      <c r="B4216" t="s">
        <v>755</v>
      </c>
    </row>
    <row r="4217" ht="12.75">
      <c r="B4217" t="s">
        <v>769</v>
      </c>
    </row>
    <row r="4218" spans="2:3" ht="12.75">
      <c r="B4218" t="s">
        <v>394</v>
      </c>
      <c r="C4218" s="112">
        <v>541376.97</v>
      </c>
    </row>
    <row r="4219" spans="2:3" ht="12.75">
      <c r="B4219" t="s">
        <v>395</v>
      </c>
      <c r="C4219" s="113">
        <v>513915.27</v>
      </c>
    </row>
    <row r="4220" spans="2:3" ht="15">
      <c r="B4220" s="114" t="s">
        <v>760</v>
      </c>
      <c r="C4220" s="115">
        <f>C4218-C4219</f>
        <v>27461.699999999953</v>
      </c>
    </row>
    <row r="4221" ht="53.25" customHeight="1"/>
    <row r="4222" spans="2:4" ht="15">
      <c r="B4222" s="196" t="s">
        <v>609</v>
      </c>
      <c r="C4222" s="196"/>
      <c r="D4222" s="196"/>
    </row>
    <row r="4223" spans="2:4" ht="15">
      <c r="B4223" s="197" t="s">
        <v>610</v>
      </c>
      <c r="C4223" s="197"/>
      <c r="D4223" s="1"/>
    </row>
    <row r="4224" spans="2:4" ht="18.75">
      <c r="B4224" s="198" t="s">
        <v>396</v>
      </c>
      <c r="C4224" s="198"/>
      <c r="D4224" s="198"/>
    </row>
    <row r="4225" spans="2:4" ht="15.75">
      <c r="B4225" s="199" t="s">
        <v>612</v>
      </c>
      <c r="C4225" s="199"/>
      <c r="D4225" s="199"/>
    </row>
    <row r="4226" spans="2:4" ht="12.75">
      <c r="B4226" s="3"/>
      <c r="C4226" s="4"/>
      <c r="D4226" s="5"/>
    </row>
    <row r="4227" spans="2:4" ht="14.25">
      <c r="B4227" s="6"/>
      <c r="C4227" s="7"/>
      <c r="D4227" s="5"/>
    </row>
    <row r="4228" spans="1:4" ht="15.75">
      <c r="A4228" s="8"/>
      <c r="B4228" s="51" t="s">
        <v>613</v>
      </c>
      <c r="C4228" s="52">
        <v>329.09</v>
      </c>
      <c r="D4228" s="5"/>
    </row>
    <row r="4229" spans="1:4" ht="15">
      <c r="A4229" s="8"/>
      <c r="B4229" s="53" t="s">
        <v>667</v>
      </c>
      <c r="C4229" s="54">
        <v>3.2</v>
      </c>
      <c r="D4229" s="13"/>
    </row>
    <row r="4230" spans="1:4" ht="15">
      <c r="A4230" s="8"/>
      <c r="B4230" s="55" t="s">
        <v>615</v>
      </c>
      <c r="C4230" s="56">
        <v>5.49</v>
      </c>
      <c r="D4230" s="13"/>
    </row>
    <row r="4231" spans="1:4" ht="18.75">
      <c r="A4231" s="8"/>
      <c r="B4231" s="15" t="s">
        <v>616</v>
      </c>
      <c r="C4231" s="57">
        <f>618.57+1059.66</f>
        <v>1678.23</v>
      </c>
      <c r="D4231" s="13"/>
    </row>
    <row r="4232" spans="1:4" ht="18">
      <c r="A4232" s="17">
        <v>1</v>
      </c>
      <c r="B4232" s="18" t="s">
        <v>668</v>
      </c>
      <c r="C4232" s="21">
        <f>12626.76+21662.88</f>
        <v>34289.64</v>
      </c>
      <c r="D4232" s="5"/>
    </row>
    <row r="4233" spans="1:4" ht="18">
      <c r="A4233" s="17">
        <v>2</v>
      </c>
      <c r="B4233" s="58" t="s">
        <v>669</v>
      </c>
      <c r="C4233" s="59">
        <f>(C4231+C4232)-C4235</f>
        <v>33602.44</v>
      </c>
      <c r="D4233" s="5"/>
    </row>
    <row r="4234" spans="1:4" ht="15">
      <c r="A4234" s="17">
        <v>3</v>
      </c>
      <c r="B4234" s="19" t="s">
        <v>670</v>
      </c>
      <c r="C4234" s="20"/>
      <c r="D4234" s="5"/>
    </row>
    <row r="4235" spans="1:4" ht="18.75">
      <c r="A4235" s="17"/>
      <c r="B4235" s="60" t="s">
        <v>671</v>
      </c>
      <c r="C4235" s="16">
        <f>870.84+1494.59</f>
        <v>2365.43</v>
      </c>
      <c r="D4235" s="5"/>
    </row>
    <row r="4236" spans="1:4" ht="15">
      <c r="A4236" s="61"/>
      <c r="B4236" s="62"/>
      <c r="C4236" s="63"/>
      <c r="D4236" s="5"/>
    </row>
    <row r="4237" spans="1:4" ht="15">
      <c r="A4237" s="61"/>
      <c r="B4237" s="62"/>
      <c r="C4237" s="63"/>
      <c r="D4237" s="5"/>
    </row>
    <row r="4238" spans="1:4" ht="31.5">
      <c r="A4238" s="17">
        <v>4</v>
      </c>
      <c r="B4238" s="64" t="s">
        <v>625</v>
      </c>
      <c r="C4238" s="27">
        <f>C4239+C4240+C4241+C4242+C4243+C4244</f>
        <v>12241.975999999999</v>
      </c>
      <c r="D4238" s="5"/>
    </row>
    <row r="4239" spans="1:4" ht="26.25">
      <c r="A4239" s="30" t="s">
        <v>672</v>
      </c>
      <c r="B4239" s="31" t="s">
        <v>632</v>
      </c>
      <c r="C4239" s="66">
        <v>921.56</v>
      </c>
      <c r="D4239" s="5"/>
    </row>
    <row r="4240" spans="1:4" ht="15.75">
      <c r="A4240" s="17" t="s">
        <v>697</v>
      </c>
      <c r="B4240" s="79" t="s">
        <v>397</v>
      </c>
      <c r="C4240" s="23">
        <v>1185.75</v>
      </c>
      <c r="D4240" s="5"/>
    </row>
    <row r="4241" spans="1:4" ht="15.75">
      <c r="A4241" s="17" t="s">
        <v>673</v>
      </c>
      <c r="B4241" s="79" t="s">
        <v>699</v>
      </c>
      <c r="C4241" s="23">
        <v>23.22</v>
      </c>
      <c r="D4241" s="5"/>
    </row>
    <row r="4242" spans="1:4" ht="15.75">
      <c r="A4242" s="17" t="s">
        <v>676</v>
      </c>
      <c r="B4242" s="81" t="s">
        <v>68</v>
      </c>
      <c r="C4242" s="69">
        <f>1.8*230*12</f>
        <v>4968</v>
      </c>
      <c r="D4242" s="5"/>
    </row>
    <row r="4243" spans="1:4" ht="15.75">
      <c r="A4243" s="17" t="s">
        <v>31</v>
      </c>
      <c r="B4243" s="82" t="s">
        <v>703</v>
      </c>
      <c r="C4243" s="71">
        <f>C4232*0.15</f>
        <v>5143.446</v>
      </c>
      <c r="D4243" s="5"/>
    </row>
    <row r="4244" spans="1:4" ht="15.75">
      <c r="A4244" s="8">
        <v>5</v>
      </c>
      <c r="B4244" s="79" t="s">
        <v>702</v>
      </c>
      <c r="C4244" s="23">
        <v>0</v>
      </c>
      <c r="D4244" s="5"/>
    </row>
    <row r="4245" spans="1:4" ht="12.75">
      <c r="A4245" s="8"/>
      <c r="B4245" s="47"/>
      <c r="C4245" s="167"/>
      <c r="D4245" s="5"/>
    </row>
    <row r="4246" spans="1:3" ht="18">
      <c r="A4246" s="8"/>
      <c r="B4246" s="73" t="s">
        <v>683</v>
      </c>
      <c r="C4246" s="59">
        <v>13067.82</v>
      </c>
    </row>
    <row r="4247" spans="1:4" ht="18">
      <c r="A4247" s="8"/>
      <c r="B4247" s="73" t="s">
        <v>222</v>
      </c>
      <c r="C4247" s="59">
        <f>C4233-C4238</f>
        <v>21360.464000000004</v>
      </c>
      <c r="D4247" s="75"/>
    </row>
    <row r="4248" spans="1:3" ht="18.75">
      <c r="A4248" s="8"/>
      <c r="B4248" s="76" t="s">
        <v>652</v>
      </c>
      <c r="C4248" s="59">
        <f>SUM(C4246:C4247)</f>
        <v>34428.284</v>
      </c>
    </row>
    <row r="4249" ht="51.75" customHeight="1"/>
    <row r="4250" spans="2:4" ht="15">
      <c r="B4250" s="196" t="s">
        <v>609</v>
      </c>
      <c r="C4250" s="196"/>
      <c r="D4250" s="196"/>
    </row>
    <row r="4251" spans="2:4" ht="15">
      <c r="B4251" s="197" t="s">
        <v>610</v>
      </c>
      <c r="C4251" s="197"/>
      <c r="D4251" s="1"/>
    </row>
    <row r="4252" spans="2:4" ht="18.75">
      <c r="B4252" s="198" t="s">
        <v>398</v>
      </c>
      <c r="C4252" s="198"/>
      <c r="D4252" s="198"/>
    </row>
    <row r="4253" spans="2:4" ht="15.75">
      <c r="B4253" s="199" t="s">
        <v>612</v>
      </c>
      <c r="C4253" s="199"/>
      <c r="D4253" s="199"/>
    </row>
    <row r="4254" spans="2:4" ht="12.75">
      <c r="B4254" s="3"/>
      <c r="C4254" s="4"/>
      <c r="D4254" s="5"/>
    </row>
    <row r="4255" spans="2:4" ht="14.25">
      <c r="B4255" s="6"/>
      <c r="C4255" s="7"/>
      <c r="D4255" s="5"/>
    </row>
    <row r="4256" spans="1:4" ht="15.75">
      <c r="A4256" s="8"/>
      <c r="B4256" s="51" t="s">
        <v>613</v>
      </c>
      <c r="C4256" s="52">
        <v>433.5</v>
      </c>
      <c r="D4256" s="5"/>
    </row>
    <row r="4257" spans="1:4" ht="15">
      <c r="A4257" s="8"/>
      <c r="B4257" s="53" t="s">
        <v>667</v>
      </c>
      <c r="C4257" s="54">
        <v>3.2</v>
      </c>
      <c r="D4257" s="13"/>
    </row>
    <row r="4258" spans="1:4" ht="15">
      <c r="A4258" s="8"/>
      <c r="B4258" s="55" t="s">
        <v>615</v>
      </c>
      <c r="C4258" s="56">
        <v>5.49</v>
      </c>
      <c r="D4258" s="13"/>
    </row>
    <row r="4259" spans="1:4" ht="18.75">
      <c r="A4259" s="8"/>
      <c r="B4259" s="15" t="s">
        <v>616</v>
      </c>
      <c r="C4259" s="57">
        <f>2982.56+5108.3</f>
        <v>8090.860000000001</v>
      </c>
      <c r="D4259" s="13"/>
    </row>
    <row r="4260" spans="1:4" ht="18">
      <c r="A4260" s="17">
        <v>1</v>
      </c>
      <c r="B4260" s="18" t="s">
        <v>668</v>
      </c>
      <c r="C4260" s="21">
        <f>16645.56+28557.48</f>
        <v>45203.04</v>
      </c>
      <c r="D4260" s="5"/>
    </row>
    <row r="4261" spans="1:4" ht="18">
      <c r="A4261" s="17"/>
      <c r="B4261" s="73" t="s">
        <v>399</v>
      </c>
      <c r="C4261" s="21">
        <v>197705.78</v>
      </c>
      <c r="D4261" s="5"/>
    </row>
    <row r="4262" spans="1:4" ht="18">
      <c r="A4262" s="17">
        <v>2</v>
      </c>
      <c r="B4262" s="58" t="s">
        <v>669</v>
      </c>
      <c r="C4262" s="59">
        <f>(C4259+C4260+C4261)-(C4264+C4265)</f>
        <v>119812.34</v>
      </c>
      <c r="D4262" s="5"/>
    </row>
    <row r="4263" spans="1:4" ht="15">
      <c r="A4263" s="17">
        <v>3</v>
      </c>
      <c r="B4263" s="19" t="s">
        <v>670</v>
      </c>
      <c r="C4263" s="20"/>
      <c r="D4263" s="5"/>
    </row>
    <row r="4264" spans="1:4" ht="15">
      <c r="A4264" s="17"/>
      <c r="B4264" s="60" t="s">
        <v>671</v>
      </c>
      <c r="C4264" s="20">
        <f>6435.76+11035.74</f>
        <v>17471.5</v>
      </c>
      <c r="D4264" s="5"/>
    </row>
    <row r="4265" spans="1:4" ht="15">
      <c r="A4265" s="61"/>
      <c r="B4265" s="60" t="s">
        <v>400</v>
      </c>
      <c r="C4265" s="20">
        <v>113715.84</v>
      </c>
      <c r="D4265" s="5"/>
    </row>
    <row r="4266" spans="1:4" ht="15">
      <c r="A4266" s="61"/>
      <c r="B4266" s="62"/>
      <c r="C4266" s="63"/>
      <c r="D4266" s="5"/>
    </row>
    <row r="4267" spans="1:4" ht="31.5">
      <c r="A4267" s="17">
        <v>4</v>
      </c>
      <c r="B4267" s="64" t="s">
        <v>625</v>
      </c>
      <c r="C4267" s="27">
        <f>C4268+C4269+C4270+C4271+C4272+C4273</f>
        <v>380731.26599999995</v>
      </c>
      <c r="D4267" s="5"/>
    </row>
    <row r="4268" spans="1:4" ht="26.25">
      <c r="A4268" s="30" t="s">
        <v>672</v>
      </c>
      <c r="B4268" s="31" t="s">
        <v>632</v>
      </c>
      <c r="C4268" s="236">
        <v>1097</v>
      </c>
      <c r="D4268" s="5"/>
    </row>
    <row r="4269" spans="1:4" ht="15.75">
      <c r="A4269" s="17" t="s">
        <v>673</v>
      </c>
      <c r="B4269" s="79" t="s">
        <v>699</v>
      </c>
      <c r="C4269" s="23">
        <v>30.59</v>
      </c>
      <c r="D4269" s="5"/>
    </row>
    <row r="4270" spans="1:4" ht="15.75">
      <c r="A4270" s="17"/>
      <c r="B4270" s="237" t="s">
        <v>401</v>
      </c>
      <c r="C4270" s="23">
        <v>1600</v>
      </c>
      <c r="D4270" s="5"/>
    </row>
    <row r="4271" spans="1:4" ht="15.75">
      <c r="A4271" s="17" t="s">
        <v>676</v>
      </c>
      <c r="B4271" s="81" t="s">
        <v>486</v>
      </c>
      <c r="C4271" s="69">
        <f>2.3*230*12</f>
        <v>6348</v>
      </c>
      <c r="D4271" s="5"/>
    </row>
    <row r="4272" spans="1:4" ht="15.75">
      <c r="A4272" s="17"/>
      <c r="B4272" s="82" t="s">
        <v>703</v>
      </c>
      <c r="C4272" s="71">
        <f>C4260*0.15</f>
        <v>6780.456</v>
      </c>
      <c r="D4272" s="5"/>
    </row>
    <row r="4273" spans="1:4" ht="15.75">
      <c r="A4273" s="8">
        <v>5</v>
      </c>
      <c r="B4273" s="79" t="s">
        <v>702</v>
      </c>
      <c r="C4273" s="23">
        <f>C4275</f>
        <v>364875.22</v>
      </c>
      <c r="D4273" s="5"/>
    </row>
    <row r="4274" spans="1:4" ht="15.75">
      <c r="A4274" s="8"/>
      <c r="B4274" s="79" t="s">
        <v>402</v>
      </c>
      <c r="C4274" s="23"/>
      <c r="D4274" s="5"/>
    </row>
    <row r="4275" spans="1:4" ht="15">
      <c r="A4275" s="8"/>
      <c r="B4275" s="83" t="s">
        <v>403</v>
      </c>
      <c r="C4275" s="41">
        <v>364875.22</v>
      </c>
      <c r="D4275" s="5"/>
    </row>
    <row r="4276" spans="1:4" ht="15.75">
      <c r="A4276" s="8"/>
      <c r="B4276" s="83"/>
      <c r="C4276" s="23"/>
      <c r="D4276" s="5"/>
    </row>
    <row r="4277" spans="1:3" ht="18">
      <c r="A4277" s="8"/>
      <c r="B4277" s="73" t="s">
        <v>683</v>
      </c>
      <c r="C4277" s="59">
        <v>44983.84</v>
      </c>
    </row>
    <row r="4278" spans="1:3" ht="18">
      <c r="A4278" s="8"/>
      <c r="B4278" s="73" t="s">
        <v>684</v>
      </c>
      <c r="C4278" s="59">
        <f>C4262-C4267</f>
        <v>-260918.92599999995</v>
      </c>
    </row>
    <row r="4279" spans="1:3" ht="18.75">
      <c r="A4279" s="8"/>
      <c r="B4279" s="76" t="s">
        <v>652</v>
      </c>
      <c r="C4279" s="59">
        <f>SUM(C4277:C4278)</f>
        <v>-215935.08599999995</v>
      </c>
    </row>
  </sheetData>
  <mergeCells count="488">
    <mergeCell ref="B4250:D4250"/>
    <mergeCell ref="B4251:C4251"/>
    <mergeCell ref="B4252:D4252"/>
    <mergeCell ref="B4253:D4253"/>
    <mergeCell ref="B4222:D4222"/>
    <mergeCell ref="B4223:C4223"/>
    <mergeCell ref="B4224:D4224"/>
    <mergeCell ref="B4225:D4225"/>
    <mergeCell ref="B4173:D4173"/>
    <mergeCell ref="B4174:C4174"/>
    <mergeCell ref="B4175:D4175"/>
    <mergeCell ref="B4176:D4176"/>
    <mergeCell ref="B4146:D4146"/>
    <mergeCell ref="B4147:C4147"/>
    <mergeCell ref="B4148:D4148"/>
    <mergeCell ref="B4149:D4149"/>
    <mergeCell ref="B4115:D4115"/>
    <mergeCell ref="B4116:C4116"/>
    <mergeCell ref="B4117:D4117"/>
    <mergeCell ref="B4118:D4118"/>
    <mergeCell ref="B4073:D4073"/>
    <mergeCell ref="B4074:C4074"/>
    <mergeCell ref="B4075:D4075"/>
    <mergeCell ref="B4076:D4076"/>
    <mergeCell ref="B4038:D4038"/>
    <mergeCell ref="B4039:C4039"/>
    <mergeCell ref="B4040:D4040"/>
    <mergeCell ref="B4041:D4041"/>
    <mergeCell ref="B4003:D4003"/>
    <mergeCell ref="B4004:C4004"/>
    <mergeCell ref="B4005:D4005"/>
    <mergeCell ref="B4006:D4006"/>
    <mergeCell ref="B3960:D3960"/>
    <mergeCell ref="B3961:C3961"/>
    <mergeCell ref="B3962:D3962"/>
    <mergeCell ref="B3963:D3963"/>
    <mergeCell ref="B3920:D3920"/>
    <mergeCell ref="B3921:C3921"/>
    <mergeCell ref="B3922:D3922"/>
    <mergeCell ref="B3923:D3923"/>
    <mergeCell ref="B3881:D3881"/>
    <mergeCell ref="B3882:C3882"/>
    <mergeCell ref="B3883:D3883"/>
    <mergeCell ref="B3884:D3884"/>
    <mergeCell ref="B3848:D3848"/>
    <mergeCell ref="B3849:C3849"/>
    <mergeCell ref="B3850:D3850"/>
    <mergeCell ref="B3851:D3851"/>
    <mergeCell ref="B3806:D3806"/>
    <mergeCell ref="B3807:C3807"/>
    <mergeCell ref="B3808:D3808"/>
    <mergeCell ref="B3809:D3809"/>
    <mergeCell ref="B3765:D3765"/>
    <mergeCell ref="B3766:C3766"/>
    <mergeCell ref="B3767:D3767"/>
    <mergeCell ref="B3768:D3768"/>
    <mergeCell ref="B3725:D3725"/>
    <mergeCell ref="B3726:C3726"/>
    <mergeCell ref="B3727:D3727"/>
    <mergeCell ref="B3728:D3728"/>
    <mergeCell ref="B3675:D3675"/>
    <mergeCell ref="B3676:C3676"/>
    <mergeCell ref="B3677:D3677"/>
    <mergeCell ref="B3678:D3678"/>
    <mergeCell ref="B3629:D3629"/>
    <mergeCell ref="B3630:C3630"/>
    <mergeCell ref="B3631:D3631"/>
    <mergeCell ref="B3632:D3632"/>
    <mergeCell ref="B3602:D3602"/>
    <mergeCell ref="B3603:C3603"/>
    <mergeCell ref="B3604:D3604"/>
    <mergeCell ref="B3605:D3605"/>
    <mergeCell ref="B3575:D3575"/>
    <mergeCell ref="B3576:C3576"/>
    <mergeCell ref="B3577:D3577"/>
    <mergeCell ref="B3578:D3578"/>
    <mergeCell ref="B3550:D3550"/>
    <mergeCell ref="B3551:C3551"/>
    <mergeCell ref="B3552:D3552"/>
    <mergeCell ref="B3553:D3553"/>
    <mergeCell ref="B3525:D3525"/>
    <mergeCell ref="B3526:C3526"/>
    <mergeCell ref="B3527:D3527"/>
    <mergeCell ref="B3528:D3528"/>
    <mergeCell ref="B3497:D3497"/>
    <mergeCell ref="B3498:C3498"/>
    <mergeCell ref="B3499:D3499"/>
    <mergeCell ref="B3500:D3500"/>
    <mergeCell ref="B3470:D3470"/>
    <mergeCell ref="B3471:C3471"/>
    <mergeCell ref="B3472:D3472"/>
    <mergeCell ref="B3473:D3473"/>
    <mergeCell ref="B3439:D3439"/>
    <mergeCell ref="B3440:C3440"/>
    <mergeCell ref="B3441:D3441"/>
    <mergeCell ref="B3442:D3442"/>
    <mergeCell ref="B3398:D3398"/>
    <mergeCell ref="B3399:C3399"/>
    <mergeCell ref="B3400:D3400"/>
    <mergeCell ref="B3401:D3401"/>
    <mergeCell ref="B3371:D3371"/>
    <mergeCell ref="B3372:C3372"/>
    <mergeCell ref="B3373:D3373"/>
    <mergeCell ref="B3374:D3374"/>
    <mergeCell ref="B3341:D3341"/>
    <mergeCell ref="B3342:C3342"/>
    <mergeCell ref="B3343:D3343"/>
    <mergeCell ref="B3344:D3344"/>
    <mergeCell ref="B3313:D3313"/>
    <mergeCell ref="B3314:C3314"/>
    <mergeCell ref="B3315:D3315"/>
    <mergeCell ref="B3316:D3316"/>
    <mergeCell ref="B3283:D3283"/>
    <mergeCell ref="B3284:C3284"/>
    <mergeCell ref="B3285:D3285"/>
    <mergeCell ref="B3286:D3286"/>
    <mergeCell ref="B3240:D3240"/>
    <mergeCell ref="B3241:C3241"/>
    <mergeCell ref="B3242:D3242"/>
    <mergeCell ref="B3243:D3243"/>
    <mergeCell ref="B3212:D3212"/>
    <mergeCell ref="B3213:C3213"/>
    <mergeCell ref="B3214:D3214"/>
    <mergeCell ref="B3215:D3215"/>
    <mergeCell ref="B3183:D3183"/>
    <mergeCell ref="B3184:C3184"/>
    <mergeCell ref="B3185:D3185"/>
    <mergeCell ref="B3186:D3186"/>
    <mergeCell ref="B3155:D3155"/>
    <mergeCell ref="B3156:C3156"/>
    <mergeCell ref="B3157:D3157"/>
    <mergeCell ref="B3158:D3158"/>
    <mergeCell ref="B3127:D3127"/>
    <mergeCell ref="B3128:C3128"/>
    <mergeCell ref="B3129:D3129"/>
    <mergeCell ref="B3130:D3130"/>
    <mergeCell ref="B3101:D3101"/>
    <mergeCell ref="B3102:C3102"/>
    <mergeCell ref="B3103:D3103"/>
    <mergeCell ref="B3104:D3104"/>
    <mergeCell ref="B3073:D3073"/>
    <mergeCell ref="B3074:C3074"/>
    <mergeCell ref="B3075:D3075"/>
    <mergeCell ref="B3076:D3076"/>
    <mergeCell ref="B3044:D3044"/>
    <mergeCell ref="B3045:C3045"/>
    <mergeCell ref="B3046:D3046"/>
    <mergeCell ref="B3047:D3047"/>
    <mergeCell ref="B3012:D3012"/>
    <mergeCell ref="B3013:C3013"/>
    <mergeCell ref="B3014:D3014"/>
    <mergeCell ref="B3015:D3015"/>
    <mergeCell ref="B2984:D2984"/>
    <mergeCell ref="B2985:C2985"/>
    <mergeCell ref="B2986:D2986"/>
    <mergeCell ref="B2987:D2987"/>
    <mergeCell ref="B2950:D2950"/>
    <mergeCell ref="B2951:C2951"/>
    <mergeCell ref="B2952:D2952"/>
    <mergeCell ref="B2953:D2953"/>
    <mergeCell ref="B2921:D2921"/>
    <mergeCell ref="B2922:C2922"/>
    <mergeCell ref="B2923:D2923"/>
    <mergeCell ref="B2924:D2924"/>
    <mergeCell ref="B2879:D2879"/>
    <mergeCell ref="B2880:C2880"/>
    <mergeCell ref="B2881:D2881"/>
    <mergeCell ref="B2882:D2882"/>
    <mergeCell ref="B2846:D2846"/>
    <mergeCell ref="B2847:C2847"/>
    <mergeCell ref="B2848:D2848"/>
    <mergeCell ref="B2849:D2849"/>
    <mergeCell ref="B2816:D2816"/>
    <mergeCell ref="B2817:C2817"/>
    <mergeCell ref="B2818:D2818"/>
    <mergeCell ref="B2819:D2819"/>
    <mergeCell ref="B2771:D2771"/>
    <mergeCell ref="B2772:C2772"/>
    <mergeCell ref="B2773:D2773"/>
    <mergeCell ref="B2774:D2774"/>
    <mergeCell ref="B2728:D2728"/>
    <mergeCell ref="B2729:C2729"/>
    <mergeCell ref="B2730:D2730"/>
    <mergeCell ref="B2731:D2731"/>
    <mergeCell ref="B2690:D2690"/>
    <mergeCell ref="B2691:C2691"/>
    <mergeCell ref="B2692:D2692"/>
    <mergeCell ref="B2693:D2693"/>
    <mergeCell ref="B2642:D2642"/>
    <mergeCell ref="B2643:C2643"/>
    <mergeCell ref="B2644:D2644"/>
    <mergeCell ref="B2645:D2645"/>
    <mergeCell ref="B2614:D2614"/>
    <mergeCell ref="B2615:C2615"/>
    <mergeCell ref="B2616:D2616"/>
    <mergeCell ref="B2617:D2617"/>
    <mergeCell ref="B2586:D2586"/>
    <mergeCell ref="B2587:C2587"/>
    <mergeCell ref="B2588:D2588"/>
    <mergeCell ref="B2589:D2589"/>
    <mergeCell ref="B2556:D2556"/>
    <mergeCell ref="B2557:C2557"/>
    <mergeCell ref="B2558:D2558"/>
    <mergeCell ref="B2559:D2559"/>
    <mergeCell ref="B2529:D2529"/>
    <mergeCell ref="B2530:C2530"/>
    <mergeCell ref="B2531:D2531"/>
    <mergeCell ref="B2532:D2532"/>
    <mergeCell ref="B2496:D2496"/>
    <mergeCell ref="B2497:C2497"/>
    <mergeCell ref="B2498:D2498"/>
    <mergeCell ref="B2499:D2499"/>
    <mergeCell ref="B2469:D2469"/>
    <mergeCell ref="B2470:C2470"/>
    <mergeCell ref="B2471:D2471"/>
    <mergeCell ref="B2472:D2472"/>
    <mergeCell ref="B2421:D2421"/>
    <mergeCell ref="B2422:C2422"/>
    <mergeCell ref="B2423:D2423"/>
    <mergeCell ref="B2424:D2424"/>
    <mergeCell ref="B2376:D2376"/>
    <mergeCell ref="B2377:C2377"/>
    <mergeCell ref="B2378:D2378"/>
    <mergeCell ref="B2379:D2379"/>
    <mergeCell ref="B2333:D2333"/>
    <mergeCell ref="B2334:C2334"/>
    <mergeCell ref="B2335:D2335"/>
    <mergeCell ref="B2336:D2336"/>
    <mergeCell ref="B2305:D2305"/>
    <mergeCell ref="B2306:C2306"/>
    <mergeCell ref="B2307:D2307"/>
    <mergeCell ref="B2308:D2308"/>
    <mergeCell ref="B2261:D2261"/>
    <mergeCell ref="B2262:C2262"/>
    <mergeCell ref="B2263:D2263"/>
    <mergeCell ref="B2264:D2264"/>
    <mergeCell ref="B2216:D2216"/>
    <mergeCell ref="B2217:C2217"/>
    <mergeCell ref="B2218:D2218"/>
    <mergeCell ref="B2219:D2219"/>
    <mergeCell ref="B2167:D2167"/>
    <mergeCell ref="B2168:C2168"/>
    <mergeCell ref="B2169:D2169"/>
    <mergeCell ref="B2170:D2170"/>
    <mergeCell ref="B2138:D2138"/>
    <mergeCell ref="B2139:C2139"/>
    <mergeCell ref="B2140:D2140"/>
    <mergeCell ref="B2141:D2141"/>
    <mergeCell ref="B2111:D2111"/>
    <mergeCell ref="B2112:C2112"/>
    <mergeCell ref="B2113:D2113"/>
    <mergeCell ref="B2114:D2114"/>
    <mergeCell ref="B2074:D2074"/>
    <mergeCell ref="B2075:C2075"/>
    <mergeCell ref="B2076:D2076"/>
    <mergeCell ref="B2077:D2077"/>
    <mergeCell ref="B2038:D2038"/>
    <mergeCell ref="B2039:C2039"/>
    <mergeCell ref="B2040:D2040"/>
    <mergeCell ref="B2041:D2041"/>
    <mergeCell ref="B2003:D2003"/>
    <mergeCell ref="B2004:C2004"/>
    <mergeCell ref="B2005:D2005"/>
    <mergeCell ref="B2006:D2006"/>
    <mergeCell ref="B1956:D1956"/>
    <mergeCell ref="B1957:C1957"/>
    <mergeCell ref="B1958:D1958"/>
    <mergeCell ref="B1959:D1959"/>
    <mergeCell ref="B1915:D1915"/>
    <mergeCell ref="B1916:C1916"/>
    <mergeCell ref="B1917:D1917"/>
    <mergeCell ref="B1918:D1918"/>
    <mergeCell ref="B1881:D1881"/>
    <mergeCell ref="B1882:C1882"/>
    <mergeCell ref="B1883:D1883"/>
    <mergeCell ref="B1884:D1884"/>
    <mergeCell ref="B1845:D1845"/>
    <mergeCell ref="B1846:C1846"/>
    <mergeCell ref="B1847:D1847"/>
    <mergeCell ref="B1848:D1848"/>
    <mergeCell ref="B1817:D1817"/>
    <mergeCell ref="B1818:C1818"/>
    <mergeCell ref="B1819:D1819"/>
    <mergeCell ref="B1820:D1820"/>
    <mergeCell ref="B1781:D1781"/>
    <mergeCell ref="B1782:C1782"/>
    <mergeCell ref="B1783:D1783"/>
    <mergeCell ref="B1784:D1784"/>
    <mergeCell ref="B1753:D1753"/>
    <mergeCell ref="B1754:C1754"/>
    <mergeCell ref="B1755:D1755"/>
    <mergeCell ref="B1756:D1756"/>
    <mergeCell ref="B1724:D1724"/>
    <mergeCell ref="B1725:C1725"/>
    <mergeCell ref="B1726:D1726"/>
    <mergeCell ref="B1727:D1727"/>
    <mergeCell ref="B1688:D1688"/>
    <mergeCell ref="B1689:C1689"/>
    <mergeCell ref="B1690:D1690"/>
    <mergeCell ref="B1691:D1691"/>
    <mergeCell ref="B1654:D1654"/>
    <mergeCell ref="B1655:C1655"/>
    <mergeCell ref="B1656:D1656"/>
    <mergeCell ref="B1657:D1657"/>
    <mergeCell ref="B1619:D1619"/>
    <mergeCell ref="B1620:C1620"/>
    <mergeCell ref="B1621:D1621"/>
    <mergeCell ref="B1622:D1622"/>
    <mergeCell ref="B1591:D1591"/>
    <mergeCell ref="B1592:C1592"/>
    <mergeCell ref="B1593:D1593"/>
    <mergeCell ref="B1594:D1594"/>
    <mergeCell ref="B1563:D1563"/>
    <mergeCell ref="B1564:C1564"/>
    <mergeCell ref="B1565:D1565"/>
    <mergeCell ref="B1566:D1566"/>
    <mergeCell ref="B1535:D1535"/>
    <mergeCell ref="B1536:C1536"/>
    <mergeCell ref="B1537:D1537"/>
    <mergeCell ref="B1538:D1538"/>
    <mergeCell ref="B1507:D1507"/>
    <mergeCell ref="B1508:C1508"/>
    <mergeCell ref="B1509:D1509"/>
    <mergeCell ref="B1510:D1510"/>
    <mergeCell ref="B1478:D1478"/>
    <mergeCell ref="B1479:C1479"/>
    <mergeCell ref="B1480:D1480"/>
    <mergeCell ref="B1481:D1481"/>
    <mergeCell ref="B1444:D1444"/>
    <mergeCell ref="B1445:C1445"/>
    <mergeCell ref="B1446:D1446"/>
    <mergeCell ref="B1447:D1447"/>
    <mergeCell ref="B1416:D1416"/>
    <mergeCell ref="B1417:C1417"/>
    <mergeCell ref="B1418:D1418"/>
    <mergeCell ref="B1419:D1419"/>
    <mergeCell ref="B1388:D1388"/>
    <mergeCell ref="B1389:C1389"/>
    <mergeCell ref="B1390:D1390"/>
    <mergeCell ref="B1391:D1391"/>
    <mergeCell ref="B1359:D1359"/>
    <mergeCell ref="B1360:C1360"/>
    <mergeCell ref="B1361:D1361"/>
    <mergeCell ref="B1362:D1362"/>
    <mergeCell ref="B1316:D1316"/>
    <mergeCell ref="B1317:C1317"/>
    <mergeCell ref="B1318:D1318"/>
    <mergeCell ref="B1319:D1319"/>
    <mergeCell ref="B1273:D1273"/>
    <mergeCell ref="B1274:C1274"/>
    <mergeCell ref="B1275:D1275"/>
    <mergeCell ref="B1276:D1276"/>
    <mergeCell ref="B1237:D1237"/>
    <mergeCell ref="B1238:C1238"/>
    <mergeCell ref="B1239:D1239"/>
    <mergeCell ref="B1240:D1240"/>
    <mergeCell ref="B1198:D1198"/>
    <mergeCell ref="B1199:C1199"/>
    <mergeCell ref="B1200:D1200"/>
    <mergeCell ref="B1201:D1201"/>
    <mergeCell ref="B1170:D1170"/>
    <mergeCell ref="B1171:C1171"/>
    <mergeCell ref="B1172:D1172"/>
    <mergeCell ref="B1173:D1173"/>
    <mergeCell ref="B1140:D1140"/>
    <mergeCell ref="B1141:C1141"/>
    <mergeCell ref="B1142:D1142"/>
    <mergeCell ref="B1143:D1143"/>
    <mergeCell ref="B1111:D1111"/>
    <mergeCell ref="B1112:C1112"/>
    <mergeCell ref="B1113:D1113"/>
    <mergeCell ref="B1114:D1114"/>
    <mergeCell ref="B1076:D1076"/>
    <mergeCell ref="B1077:C1077"/>
    <mergeCell ref="B1078:D1078"/>
    <mergeCell ref="B1079:D1079"/>
    <mergeCell ref="B1046:D1046"/>
    <mergeCell ref="B1047:C1047"/>
    <mergeCell ref="B1048:D1048"/>
    <mergeCell ref="B1049:D1049"/>
    <mergeCell ref="B1005:D1005"/>
    <mergeCell ref="B1006:C1006"/>
    <mergeCell ref="B1007:D1007"/>
    <mergeCell ref="B1008:D1008"/>
    <mergeCell ref="B975:D975"/>
    <mergeCell ref="B976:C976"/>
    <mergeCell ref="B977:D977"/>
    <mergeCell ref="B978:D978"/>
    <mergeCell ref="B943:D943"/>
    <mergeCell ref="B944:C944"/>
    <mergeCell ref="B945:D945"/>
    <mergeCell ref="B946:D946"/>
    <mergeCell ref="B910:D910"/>
    <mergeCell ref="B911:C911"/>
    <mergeCell ref="B912:D912"/>
    <mergeCell ref="B913:D913"/>
    <mergeCell ref="B882:D882"/>
    <mergeCell ref="B883:C883"/>
    <mergeCell ref="B884:D884"/>
    <mergeCell ref="B885:D885"/>
    <mergeCell ref="B843:D843"/>
    <mergeCell ref="B844:C844"/>
    <mergeCell ref="B845:D845"/>
    <mergeCell ref="B846:D846"/>
    <mergeCell ref="B813:D813"/>
    <mergeCell ref="B814:C814"/>
    <mergeCell ref="B815:D815"/>
    <mergeCell ref="B816:D816"/>
    <mergeCell ref="B783:D783"/>
    <mergeCell ref="B784:C784"/>
    <mergeCell ref="B785:D785"/>
    <mergeCell ref="B786:D786"/>
    <mergeCell ref="B741:D741"/>
    <mergeCell ref="B742:C742"/>
    <mergeCell ref="B743:D743"/>
    <mergeCell ref="B744:D744"/>
    <mergeCell ref="B709:D709"/>
    <mergeCell ref="B710:C710"/>
    <mergeCell ref="B711:D711"/>
    <mergeCell ref="B712:D712"/>
    <mergeCell ref="B668:D668"/>
    <mergeCell ref="B669:C669"/>
    <mergeCell ref="B670:D670"/>
    <mergeCell ref="B671:D671"/>
    <mergeCell ref="B639:D639"/>
    <mergeCell ref="B640:C640"/>
    <mergeCell ref="B641:D641"/>
    <mergeCell ref="B642:D642"/>
    <mergeCell ref="B611:D611"/>
    <mergeCell ref="B612:C612"/>
    <mergeCell ref="B613:D613"/>
    <mergeCell ref="B614:D614"/>
    <mergeCell ref="B566:D566"/>
    <mergeCell ref="B567:C567"/>
    <mergeCell ref="B568:D568"/>
    <mergeCell ref="B569:D569"/>
    <mergeCell ref="B527:D527"/>
    <mergeCell ref="B528:C528"/>
    <mergeCell ref="B529:D529"/>
    <mergeCell ref="B530:D530"/>
    <mergeCell ref="B475:D475"/>
    <mergeCell ref="B476:C476"/>
    <mergeCell ref="B477:D477"/>
    <mergeCell ref="B478:D478"/>
    <mergeCell ref="B414:D414"/>
    <mergeCell ref="B415:C415"/>
    <mergeCell ref="B416:D416"/>
    <mergeCell ref="B417:D417"/>
    <mergeCell ref="B363:D363"/>
    <mergeCell ref="B364:C364"/>
    <mergeCell ref="B365:D365"/>
    <mergeCell ref="B366:D366"/>
    <mergeCell ref="B314:D314"/>
    <mergeCell ref="B315:C315"/>
    <mergeCell ref="B316:D316"/>
    <mergeCell ref="B317:D317"/>
    <mergeCell ref="B282:D282"/>
    <mergeCell ref="B283:C283"/>
    <mergeCell ref="B284:D284"/>
    <mergeCell ref="B285:D285"/>
    <mergeCell ref="B253:D253"/>
    <mergeCell ref="B254:C254"/>
    <mergeCell ref="B255:D255"/>
    <mergeCell ref="B256:D256"/>
    <mergeCell ref="B204:D204"/>
    <mergeCell ref="B205:C205"/>
    <mergeCell ref="B206:D206"/>
    <mergeCell ref="B207:D207"/>
    <mergeCell ref="B176:D176"/>
    <mergeCell ref="B177:C177"/>
    <mergeCell ref="B178:D178"/>
    <mergeCell ref="B179:D179"/>
    <mergeCell ref="B129:D129"/>
    <mergeCell ref="B130:C130"/>
    <mergeCell ref="B131:D131"/>
    <mergeCell ref="B132:D132"/>
    <mergeCell ref="B96:D96"/>
    <mergeCell ref="B97:C97"/>
    <mergeCell ref="B98:D98"/>
    <mergeCell ref="B99:D99"/>
    <mergeCell ref="B53:D53"/>
    <mergeCell ref="B54:C54"/>
    <mergeCell ref="B55:D55"/>
    <mergeCell ref="B56:D56"/>
    <mergeCell ref="B1:D1"/>
    <mergeCell ref="B2:C2"/>
    <mergeCell ref="B3:D3"/>
    <mergeCell ref="B4:D4"/>
  </mergeCells>
  <printOptions/>
  <pageMargins left="0.16" right="0.17" top="0.28" bottom="0.24" header="0.16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2012-05-03T05:48:42Z</cp:lastPrinted>
  <dcterms:created xsi:type="dcterms:W3CDTF">2012-04-13T10:37:01Z</dcterms:created>
  <dcterms:modified xsi:type="dcterms:W3CDTF">2012-05-03T08:16:04Z</dcterms:modified>
  <cp:category/>
  <cp:version/>
  <cp:contentType/>
  <cp:contentStatus/>
</cp:coreProperties>
</file>